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20" yWindow="255" windowWidth="11700" windowHeight="6285"/>
  </bookViews>
  <sheets>
    <sheet name="入力表" sheetId="4" r:id="rId1"/>
    <sheet name="計算書" sheetId="1" state="hidden" r:id="rId2"/>
    <sheet name="所得算出" sheetId="2" state="hidden" r:id="rId3"/>
    <sheet name="条例数値" sheetId="3" state="hidden" r:id="rId4"/>
  </sheets>
  <definedNames>
    <definedName name="N_給与所得算出">所得算出!$B$3:$L$13</definedName>
    <definedName name="N_高齢年金算出">所得算出!$B$16:$L$20</definedName>
    <definedName name="N_年金所得算出">所得算出!$B$23:$L$27</definedName>
    <definedName name="_xlnm.Print_Area" localSheetId="0">入力表!$B$14:$J$31</definedName>
  </definedNames>
  <calcPr calcId="162913"/>
</workbook>
</file>

<file path=xl/calcChain.xml><?xml version="1.0" encoding="utf-8"?>
<calcChain xmlns="http://schemas.openxmlformats.org/spreadsheetml/2006/main">
  <c r="L4" i="2" l="1"/>
  <c r="K4" i="2"/>
  <c r="J4" i="2"/>
  <c r="I4" i="2"/>
  <c r="H4" i="2"/>
  <c r="J3" i="1" l="1"/>
  <c r="J4" i="1" s="1"/>
  <c r="J8" i="1"/>
  <c r="L12" i="2" s="1"/>
  <c r="J12" i="1"/>
  <c r="L27" i="2" s="1"/>
  <c r="J15" i="1"/>
  <c r="J16" i="1"/>
  <c r="J26" i="1"/>
  <c r="J28" i="1" s="1"/>
  <c r="E3" i="1"/>
  <c r="E29" i="1" s="1"/>
  <c r="F3" i="1"/>
  <c r="F4" i="1" s="1"/>
  <c r="G3" i="1"/>
  <c r="G4" i="1" s="1"/>
  <c r="H3" i="1"/>
  <c r="H5" i="1" s="1"/>
  <c r="I3" i="1"/>
  <c r="I5" i="1"/>
  <c r="E8" i="1"/>
  <c r="F8" i="1"/>
  <c r="H3" i="2" s="1"/>
  <c r="F9" i="1" s="1"/>
  <c r="G8" i="1"/>
  <c r="I12" i="2" s="1"/>
  <c r="H8" i="1"/>
  <c r="J6" i="2" s="1"/>
  <c r="I8" i="1"/>
  <c r="K13" i="2" s="1"/>
  <c r="E12" i="1"/>
  <c r="G25" i="2" s="1"/>
  <c r="F12" i="1"/>
  <c r="H26" i="2" s="1"/>
  <c r="G12" i="1"/>
  <c r="I24" i="2" s="1"/>
  <c r="I26" i="2"/>
  <c r="H12" i="1"/>
  <c r="J25" i="2" s="1"/>
  <c r="I12" i="1"/>
  <c r="K18" i="2" s="1"/>
  <c r="E15" i="1"/>
  <c r="F15" i="1"/>
  <c r="G15" i="1"/>
  <c r="H15" i="1"/>
  <c r="I15" i="1"/>
  <c r="E16" i="1"/>
  <c r="F16" i="1"/>
  <c r="G16" i="1"/>
  <c r="H16" i="1"/>
  <c r="I16" i="1"/>
  <c r="E26" i="1"/>
  <c r="E28" i="1" s="1"/>
  <c r="F26" i="1"/>
  <c r="F28" i="1" s="1"/>
  <c r="G26" i="1"/>
  <c r="G28" i="1"/>
  <c r="H26" i="1"/>
  <c r="H28" i="1" s="1"/>
  <c r="I26" i="1"/>
  <c r="I27" i="1" s="1"/>
  <c r="D15" i="1"/>
  <c r="D12" i="1"/>
  <c r="F26" i="2" s="1"/>
  <c r="D8" i="1"/>
  <c r="D16" i="1"/>
  <c r="D26" i="1"/>
  <c r="D28" i="1" s="1"/>
  <c r="D3" i="1"/>
  <c r="L8" i="2"/>
  <c r="L11" i="2"/>
  <c r="J29" i="1"/>
  <c r="L13" i="2"/>
  <c r="L6" i="2"/>
  <c r="L10" i="2"/>
  <c r="G22" i="1"/>
  <c r="J22" i="1"/>
  <c r="L3" i="2"/>
  <c r="J9" i="1" s="1"/>
  <c r="J24" i="2"/>
  <c r="K3" i="2"/>
  <c r="I9" i="1" s="1"/>
  <c r="J18" i="2"/>
  <c r="H27" i="2"/>
  <c r="I27" i="2"/>
  <c r="I9" i="2"/>
  <c r="I22" i="1"/>
  <c r="I4" i="1"/>
  <c r="I25" i="2"/>
  <c r="I29" i="1"/>
  <c r="F5" i="1"/>
  <c r="H27" i="1"/>
  <c r="L24" i="2"/>
  <c r="L18" i="2"/>
  <c r="J20" i="2"/>
  <c r="L26" i="2"/>
  <c r="G27" i="1"/>
  <c r="I7" i="2"/>
  <c r="J26" i="2"/>
  <c r="J19" i="2"/>
  <c r="J27" i="2"/>
  <c r="L20" i="2"/>
  <c r="J17" i="2"/>
  <c r="F27" i="1"/>
  <c r="I10" i="2"/>
  <c r="F11" i="2" l="1"/>
  <c r="F4" i="2"/>
  <c r="G12" i="2"/>
  <c r="G4" i="2"/>
  <c r="F29" i="1"/>
  <c r="G10" i="2"/>
  <c r="G9" i="2"/>
  <c r="G18" i="2"/>
  <c r="F25" i="2"/>
  <c r="G11" i="2"/>
  <c r="F22" i="1"/>
  <c r="G8" i="2"/>
  <c r="G3" i="2"/>
  <c r="G5" i="2"/>
  <c r="G7" i="2"/>
  <c r="G6" i="2"/>
  <c r="G13" i="2"/>
  <c r="E5" i="1"/>
  <c r="F13" i="1"/>
  <c r="H16" i="2" s="1"/>
  <c r="F20" i="2"/>
  <c r="L17" i="2"/>
  <c r="J11" i="2"/>
  <c r="L25" i="2"/>
  <c r="K5" i="2"/>
  <c r="K11" i="2"/>
  <c r="K26" i="2"/>
  <c r="J10" i="2"/>
  <c r="L9" i="2"/>
  <c r="F27" i="2"/>
  <c r="K6" i="2"/>
  <c r="K8" i="2"/>
  <c r="F24" i="2"/>
  <c r="K7" i="2"/>
  <c r="K9" i="2"/>
  <c r="F19" i="2"/>
  <c r="F17" i="2"/>
  <c r="L19" i="2"/>
  <c r="H6" i="2"/>
  <c r="H22" i="1"/>
  <c r="J12" i="2"/>
  <c r="H20" i="2"/>
  <c r="K12" i="2"/>
  <c r="K10" i="2"/>
  <c r="H18" i="2"/>
  <c r="H10" i="2"/>
  <c r="E4" i="1"/>
  <c r="F7" i="2"/>
  <c r="D27" i="1"/>
  <c r="I3" i="2"/>
  <c r="G9" i="1" s="1"/>
  <c r="G13" i="1" s="1"/>
  <c r="I11" i="2"/>
  <c r="H29" i="1"/>
  <c r="H17" i="2"/>
  <c r="G5" i="1"/>
  <c r="I13" i="1"/>
  <c r="K23" i="2" s="1"/>
  <c r="J13" i="1"/>
  <c r="L16" i="2" s="1"/>
  <c r="J14" i="1" s="1"/>
  <c r="J10" i="1" s="1"/>
  <c r="J11" i="1" s="1"/>
  <c r="J17" i="1" s="1"/>
  <c r="J5" i="1"/>
  <c r="I28" i="1"/>
  <c r="G27" i="2"/>
  <c r="G29" i="1"/>
  <c r="J27" i="1"/>
  <c r="I6" i="2"/>
  <c r="I13" i="2"/>
  <c r="I8" i="2"/>
  <c r="G19" i="2"/>
  <c r="H4" i="1"/>
  <c r="H12" i="2"/>
  <c r="I5" i="2"/>
  <c r="H25" i="2"/>
  <c r="H24" i="2"/>
  <c r="H19" i="2"/>
  <c r="D5" i="1"/>
  <c r="D38" i="1"/>
  <c r="D46" i="1" s="1"/>
  <c r="E27" i="1"/>
  <c r="K25" i="2"/>
  <c r="H8" i="2"/>
  <c r="J8" i="2"/>
  <c r="J7" i="2"/>
  <c r="K19" i="2"/>
  <c r="K20" i="2"/>
  <c r="G20" i="2"/>
  <c r="G24" i="2"/>
  <c r="I18" i="2"/>
  <c r="F13" i="2"/>
  <c r="J5" i="2"/>
  <c r="H11" i="2"/>
  <c r="H7" i="2"/>
  <c r="G17" i="2"/>
  <c r="J3" i="2"/>
  <c r="H9" i="1" s="1"/>
  <c r="H13" i="1" s="1"/>
  <c r="J23" i="2" s="1"/>
  <c r="I19" i="2"/>
  <c r="I17" i="2"/>
  <c r="L5" i="2"/>
  <c r="K27" i="2"/>
  <c r="H5" i="2"/>
  <c r="H9" i="2"/>
  <c r="G26" i="2"/>
  <c r="L7" i="2"/>
  <c r="F3" i="2"/>
  <c r="F6" i="2"/>
  <c r="F18" i="2"/>
  <c r="J9" i="2"/>
  <c r="J13" i="2"/>
  <c r="H13" i="2"/>
  <c r="I20" i="2"/>
  <c r="K24" i="2"/>
  <c r="K17" i="2"/>
  <c r="D4" i="1"/>
  <c r="D32" i="1"/>
  <c r="F10" i="2"/>
  <c r="F8" i="2"/>
  <c r="F9" i="2"/>
  <c r="F5" i="2"/>
  <c r="F12" i="2"/>
  <c r="D29" i="1"/>
  <c r="D36" i="1" l="1"/>
  <c r="D45" i="1" s="1"/>
  <c r="D9" i="1"/>
  <c r="H23" i="2"/>
  <c r="F14" i="1" s="1"/>
  <c r="F10" i="1" s="1"/>
  <c r="F11" i="1" s="1"/>
  <c r="F17" i="1" s="1"/>
  <c r="F18" i="1" s="1"/>
  <c r="F19" i="1" s="1"/>
  <c r="K16" i="2"/>
  <c r="I14" i="1" s="1"/>
  <c r="I10" i="1" s="1"/>
  <c r="I11" i="1" s="1"/>
  <c r="I17" i="1" s="1"/>
  <c r="I18" i="1" s="1"/>
  <c r="I19" i="1" s="1"/>
  <c r="I23" i="1" s="1"/>
  <c r="D13" i="1"/>
  <c r="F23" i="2" s="1"/>
  <c r="J16" i="2"/>
  <c r="H14" i="1" s="1"/>
  <c r="H10" i="1" s="1"/>
  <c r="H11" i="1" s="1"/>
  <c r="H17" i="1" s="1"/>
  <c r="H18" i="1" s="1"/>
  <c r="H19" i="1" s="1"/>
  <c r="H23" i="1" s="1"/>
  <c r="L23" i="2"/>
  <c r="E9" i="1"/>
  <c r="E13" i="1" s="1"/>
  <c r="I23" i="2"/>
  <c r="I16" i="2"/>
  <c r="G14" i="1" s="1"/>
  <c r="G10" i="1" s="1"/>
  <c r="G11" i="1" s="1"/>
  <c r="G17" i="1" s="1"/>
  <c r="G18" i="1" s="1"/>
  <c r="G19" i="1" s="1"/>
  <c r="G23" i="1" s="1"/>
  <c r="D39" i="1"/>
  <c r="D34" i="1"/>
  <c r="D33" i="1"/>
  <c r="D43" i="1"/>
  <c r="J18" i="1"/>
  <c r="J19" i="1" s="1"/>
  <c r="J23" i="1" s="1"/>
  <c r="D37" i="1" l="1"/>
  <c r="F23" i="1"/>
  <c r="F20" i="1"/>
  <c r="F21" i="1"/>
  <c r="F16" i="2"/>
  <c r="D14" i="1" s="1"/>
  <c r="D10" i="1" s="1"/>
  <c r="D11" i="1" s="1"/>
  <c r="D17" i="1" s="1"/>
  <c r="D18" i="1" s="1"/>
  <c r="D19" i="1" s="1"/>
  <c r="D23" i="1" s="1"/>
  <c r="G16" i="2"/>
  <c r="G23" i="2"/>
  <c r="D44" i="1"/>
  <c r="D47" i="1" s="1"/>
  <c r="D35" i="1"/>
  <c r="G20" i="1"/>
  <c r="G21" i="1"/>
  <c r="I21" i="1"/>
  <c r="I20" i="1"/>
  <c r="H21" i="1"/>
  <c r="H20" i="1"/>
  <c r="J20" i="1"/>
  <c r="J21" i="1"/>
  <c r="D40" i="1" l="1"/>
  <c r="E14" i="1"/>
  <c r="E10" i="1" s="1"/>
  <c r="E11" i="1" s="1"/>
  <c r="E17" i="1" s="1"/>
  <c r="E18" i="1" s="1"/>
  <c r="E19" i="1" s="1"/>
  <c r="E22" i="1" s="1"/>
  <c r="D22" i="1"/>
  <c r="D20" i="1"/>
  <c r="D21" i="1"/>
  <c r="D69" i="1" l="1"/>
  <c r="G63" i="1" s="1"/>
  <c r="E23" i="1"/>
  <c r="D58" i="1" s="1"/>
  <c r="G56" i="1" s="1"/>
  <c r="D51" i="1"/>
  <c r="G51" i="1" s="1"/>
  <c r="C31" i="4" s="1"/>
  <c r="E21" i="1"/>
  <c r="D62" i="1" s="1"/>
  <c r="G58" i="1" s="1"/>
  <c r="E20" i="1"/>
  <c r="D61" i="1" s="1"/>
  <c r="G57" i="1" s="1"/>
  <c r="D63" i="1"/>
  <c r="G59" i="1" s="1"/>
  <c r="D57" i="1"/>
  <c r="G55" i="1" s="1"/>
  <c r="D64" i="1" l="1"/>
  <c r="G60" i="1" s="1"/>
  <c r="D52" i="1"/>
  <c r="G52" i="1" s="1"/>
  <c r="D70" i="1"/>
  <c r="G64" i="1" s="1"/>
  <c r="D68" i="1"/>
  <c r="G62" i="1" s="1"/>
  <c r="D50" i="1"/>
  <c r="G50" i="1" s="1"/>
  <c r="C30" i="4" s="1"/>
  <c r="D56" i="1"/>
  <c r="G54" i="1" s="1"/>
  <c r="D55" i="1"/>
  <c r="G53" i="1" s="1"/>
  <c r="D67" i="1"/>
  <c r="G61" i="1" s="1"/>
  <c r="D49" i="1"/>
  <c r="D65" i="1"/>
  <c r="C32" i="4" l="1"/>
  <c r="D53" i="1"/>
  <c r="D71" i="1"/>
  <c r="D59" i="1"/>
  <c r="G49" i="1"/>
  <c r="C29" i="4" s="1"/>
  <c r="C25" i="4" l="1"/>
  <c r="F25" i="4" s="1"/>
</calcChain>
</file>

<file path=xl/sharedStrings.xml><?xml version="1.0" encoding="utf-8"?>
<sst xmlns="http://schemas.openxmlformats.org/spreadsheetml/2006/main" count="267" uniqueCount="125">
  <si>
    <t>給与所得</t>
    <rPh sb="0" eb="2">
      <t>キュウヨ</t>
    </rPh>
    <rPh sb="2" eb="4">
      <t>ショトク</t>
    </rPh>
    <phoneticPr fontId="2"/>
  </si>
  <si>
    <t>円未満</t>
    <rPh sb="0" eb="1">
      <t>エン</t>
    </rPh>
    <rPh sb="1" eb="3">
      <t>ミマン</t>
    </rPh>
    <phoneticPr fontId="2"/>
  </si>
  <si>
    <t>円以上</t>
    <rPh sb="0" eb="1">
      <t>エン</t>
    </rPh>
    <rPh sb="1" eb="3">
      <t>イジョウ</t>
    </rPh>
    <phoneticPr fontId="2"/>
  </si>
  <si>
    <t>６５歳未満年金　　N_年金所得算出</t>
    <rPh sb="2" eb="5">
      <t>サイミマン</t>
    </rPh>
    <rPh sb="5" eb="7">
      <t>ネンキン</t>
    </rPh>
    <phoneticPr fontId="2"/>
  </si>
  <si>
    <t>６５歳以上年金　　N_高齢年金算出</t>
    <rPh sb="2" eb="5">
      <t>サイイジョウ</t>
    </rPh>
    <rPh sb="5" eb="7">
      <t>ネンキン</t>
    </rPh>
    <phoneticPr fontId="2"/>
  </si>
  <si>
    <t>給与所得　　N_給与所得算出</t>
    <rPh sb="0" eb="2">
      <t>キュウヨ</t>
    </rPh>
    <rPh sb="2" eb="4">
      <t>ショトク</t>
    </rPh>
    <phoneticPr fontId="2"/>
  </si>
  <si>
    <t>年金所得</t>
    <rPh sb="0" eb="2">
      <t>ネンキン</t>
    </rPh>
    <rPh sb="2" eb="4">
      <t>ショトク</t>
    </rPh>
    <phoneticPr fontId="2"/>
  </si>
  <si>
    <t>賦課基礎額</t>
    <rPh sb="0" eb="2">
      <t>フカ</t>
    </rPh>
    <rPh sb="2" eb="5">
      <t>キソガク</t>
    </rPh>
    <phoneticPr fontId="2"/>
  </si>
  <si>
    <t>基礎控除</t>
    <rPh sb="0" eb="2">
      <t>キソ</t>
    </rPh>
    <rPh sb="2" eb="4">
      <t>コウジョ</t>
    </rPh>
    <phoneticPr fontId="2"/>
  </si>
  <si>
    <t>被保険者１</t>
    <rPh sb="0" eb="4">
      <t>ヒホケンシャ</t>
    </rPh>
    <phoneticPr fontId="2"/>
  </si>
  <si>
    <t>被保険者２</t>
    <rPh sb="0" eb="4">
      <t>ヒホケンシャ</t>
    </rPh>
    <phoneticPr fontId="2"/>
  </si>
  <si>
    <t>被保険者３</t>
    <rPh sb="0" eb="4">
      <t>ヒホケンシャ</t>
    </rPh>
    <phoneticPr fontId="2"/>
  </si>
  <si>
    <t>被保険者４</t>
    <rPh sb="0" eb="4">
      <t>ヒホケンシャ</t>
    </rPh>
    <phoneticPr fontId="2"/>
  </si>
  <si>
    <t>被保険者５</t>
    <rPh sb="0" eb="4">
      <t>ヒホケンシャ</t>
    </rPh>
    <phoneticPr fontId="2"/>
  </si>
  <si>
    <t>被保険者６</t>
    <rPh sb="0" eb="4">
      <t>ヒホケンシャ</t>
    </rPh>
    <phoneticPr fontId="2"/>
  </si>
  <si>
    <t>被保険者７</t>
    <rPh sb="0" eb="4">
      <t>ヒホケンシャ</t>
    </rPh>
    <phoneticPr fontId="2"/>
  </si>
  <si>
    <t>所得割額（率）</t>
    <rPh sb="0" eb="3">
      <t>ショトクワリ</t>
    </rPh>
    <rPh sb="3" eb="4">
      <t>ガク</t>
    </rPh>
    <rPh sb="5" eb="6">
      <t>リツ</t>
    </rPh>
    <phoneticPr fontId="2"/>
  </si>
  <si>
    <t>円</t>
    <rPh sb="0" eb="1">
      <t>エン</t>
    </rPh>
    <phoneticPr fontId="2"/>
  </si>
  <si>
    <t>国保所得割</t>
    <rPh sb="0" eb="2">
      <t>コクホ</t>
    </rPh>
    <rPh sb="2" eb="5">
      <t>ショトクワリ</t>
    </rPh>
    <phoneticPr fontId="2"/>
  </si>
  <si>
    <t>介護所得割</t>
    <rPh sb="0" eb="2">
      <t>カイゴ</t>
    </rPh>
    <rPh sb="2" eb="5">
      <t>ショトクワリ</t>
    </rPh>
    <phoneticPr fontId="2"/>
  </si>
  <si>
    <t>被保険者均等割額計算書</t>
    <rPh sb="0" eb="4">
      <t>ヒホケンシャ</t>
    </rPh>
    <rPh sb="4" eb="6">
      <t>キントウ</t>
    </rPh>
    <rPh sb="6" eb="7">
      <t>ワ</t>
    </rPh>
    <rPh sb="7" eb="8">
      <t>ガク</t>
    </rPh>
    <rPh sb="8" eb="11">
      <t>ケイサンショ</t>
    </rPh>
    <phoneticPr fontId="2"/>
  </si>
  <si>
    <t>人</t>
    <rPh sb="0" eb="1">
      <t>ニン</t>
    </rPh>
    <phoneticPr fontId="2"/>
  </si>
  <si>
    <t>世帯負担合計</t>
    <rPh sb="0" eb="2">
      <t>セタイ</t>
    </rPh>
    <rPh sb="2" eb="4">
      <t>フタン</t>
    </rPh>
    <rPh sb="4" eb="6">
      <t>ゴウケイ</t>
    </rPh>
    <phoneticPr fontId="2"/>
  </si>
  <si>
    <t>世帯別平等割額計算書</t>
    <rPh sb="0" eb="3">
      <t>セタイベツ</t>
    </rPh>
    <rPh sb="3" eb="5">
      <t>ビョウドウ</t>
    </rPh>
    <rPh sb="5" eb="6">
      <t>ワ</t>
    </rPh>
    <rPh sb="6" eb="7">
      <t>ガク</t>
    </rPh>
    <rPh sb="7" eb="10">
      <t>ケイサンショ</t>
    </rPh>
    <phoneticPr fontId="2"/>
  </si>
  <si>
    <t>小　　　　計</t>
    <rPh sb="0" eb="1">
      <t>ショウ</t>
    </rPh>
    <rPh sb="5" eb="6">
      <t>ケイ</t>
    </rPh>
    <phoneticPr fontId="2"/>
  </si>
  <si>
    <t>国保資産割</t>
    <rPh sb="0" eb="2">
      <t>コクホ</t>
    </rPh>
    <rPh sb="2" eb="4">
      <t>シサン</t>
    </rPh>
    <rPh sb="4" eb="5">
      <t>ショトクワリ</t>
    </rPh>
    <phoneticPr fontId="2"/>
  </si>
  <si>
    <t>固定資産税額</t>
    <rPh sb="0" eb="2">
      <t>コテイ</t>
    </rPh>
    <rPh sb="2" eb="5">
      <t>シサンゼイ</t>
    </rPh>
    <rPh sb="5" eb="6">
      <t>ガク</t>
    </rPh>
    <phoneticPr fontId="2"/>
  </si>
  <si>
    <t>資産割額（率）</t>
    <rPh sb="0" eb="2">
      <t>シサン</t>
    </rPh>
    <rPh sb="2" eb="3">
      <t>ワリ</t>
    </rPh>
    <rPh sb="3" eb="4">
      <t>ガク</t>
    </rPh>
    <rPh sb="5" eb="6">
      <t>リツ</t>
    </rPh>
    <phoneticPr fontId="2"/>
  </si>
  <si>
    <t>専従者給与</t>
    <rPh sb="0" eb="2">
      <t>センジュウ</t>
    </rPh>
    <rPh sb="2" eb="3">
      <t>シャ</t>
    </rPh>
    <rPh sb="3" eb="5">
      <t>キュウヨ</t>
    </rPh>
    <phoneticPr fontId="2"/>
  </si>
  <si>
    <t>不動産所得</t>
    <rPh sb="0" eb="3">
      <t>フドウサン</t>
    </rPh>
    <rPh sb="3" eb="5">
      <t>ショトク</t>
    </rPh>
    <phoneticPr fontId="2"/>
  </si>
  <si>
    <t>給 与 収 入</t>
    <rPh sb="0" eb="1">
      <t>キュウ</t>
    </rPh>
    <rPh sb="2" eb="3">
      <t>クミ</t>
    </rPh>
    <rPh sb="4" eb="5">
      <t>オサム</t>
    </rPh>
    <rPh sb="6" eb="7">
      <t>イ</t>
    </rPh>
    <phoneticPr fontId="2"/>
  </si>
  <si>
    <t>分離譲渡所得</t>
    <rPh sb="0" eb="2">
      <t>ブンリ</t>
    </rPh>
    <rPh sb="2" eb="4">
      <t>ジョウト</t>
    </rPh>
    <rPh sb="4" eb="6">
      <t>ショトク</t>
    </rPh>
    <phoneticPr fontId="2"/>
  </si>
  <si>
    <t>7法 国保料</t>
    <rPh sb="1" eb="2">
      <t>ホウ</t>
    </rPh>
    <rPh sb="3" eb="5">
      <t>コクホ</t>
    </rPh>
    <rPh sb="5" eb="6">
      <t>リョウ</t>
    </rPh>
    <phoneticPr fontId="2"/>
  </si>
  <si>
    <t>5法 国保料</t>
    <rPh sb="1" eb="2">
      <t>ホウ</t>
    </rPh>
    <rPh sb="3" eb="5">
      <t>コクホ</t>
    </rPh>
    <rPh sb="5" eb="6">
      <t>リョウ</t>
    </rPh>
    <phoneticPr fontId="2"/>
  </si>
  <si>
    <t>7法 医療分</t>
    <rPh sb="1" eb="2">
      <t>ホウ</t>
    </rPh>
    <rPh sb="3" eb="5">
      <t>イリョウ</t>
    </rPh>
    <rPh sb="5" eb="6">
      <t>ブン</t>
    </rPh>
    <phoneticPr fontId="2"/>
  </si>
  <si>
    <t>7法 介護分</t>
    <rPh sb="1" eb="2">
      <t>ホウ</t>
    </rPh>
    <rPh sb="3" eb="5">
      <t>カイゴ</t>
    </rPh>
    <rPh sb="5" eb="6">
      <t>ブン</t>
    </rPh>
    <phoneticPr fontId="2"/>
  </si>
  <si>
    <t>5法 医療分</t>
    <rPh sb="1" eb="2">
      <t>ホウ</t>
    </rPh>
    <rPh sb="3" eb="5">
      <t>イリョウ</t>
    </rPh>
    <rPh sb="5" eb="6">
      <t>ブン</t>
    </rPh>
    <phoneticPr fontId="2"/>
  </si>
  <si>
    <t>5法 介護分</t>
    <rPh sb="1" eb="2">
      <t>ホウ</t>
    </rPh>
    <rPh sb="3" eb="5">
      <t>カイゴ</t>
    </rPh>
    <rPh sb="5" eb="6">
      <t>ブン</t>
    </rPh>
    <phoneticPr fontId="2"/>
  </si>
  <si>
    <t>2法 医療分</t>
    <rPh sb="1" eb="2">
      <t>ホウ</t>
    </rPh>
    <rPh sb="3" eb="5">
      <t>イリョウ</t>
    </rPh>
    <rPh sb="5" eb="6">
      <t>ブン</t>
    </rPh>
    <phoneticPr fontId="2"/>
  </si>
  <si>
    <t>2法 介護分</t>
    <rPh sb="1" eb="2">
      <t>ホウ</t>
    </rPh>
    <rPh sb="3" eb="5">
      <t>カイゴ</t>
    </rPh>
    <rPh sb="5" eb="6">
      <t>ブン</t>
    </rPh>
    <phoneticPr fontId="2"/>
  </si>
  <si>
    <t>2法 国保料</t>
    <rPh sb="1" eb="2">
      <t>ホウ</t>
    </rPh>
    <rPh sb="3" eb="5">
      <t>コクホ</t>
    </rPh>
    <rPh sb="5" eb="6">
      <t>リョウ</t>
    </rPh>
    <phoneticPr fontId="2"/>
  </si>
  <si>
    <t>医療</t>
    <rPh sb="0" eb="2">
      <t>イリョウ</t>
    </rPh>
    <phoneticPr fontId="2"/>
  </si>
  <si>
    <t>7医療</t>
    <rPh sb="1" eb="3">
      <t>イリョウ</t>
    </rPh>
    <phoneticPr fontId="2"/>
  </si>
  <si>
    <t>7介護</t>
    <rPh sb="1" eb="3">
      <t>カイゴ</t>
    </rPh>
    <phoneticPr fontId="2"/>
  </si>
  <si>
    <t>5医療</t>
    <rPh sb="1" eb="3">
      <t>イリョウ</t>
    </rPh>
    <phoneticPr fontId="2"/>
  </si>
  <si>
    <t>5介護</t>
    <rPh sb="1" eb="3">
      <t>カイゴ</t>
    </rPh>
    <phoneticPr fontId="2"/>
  </si>
  <si>
    <t>2医療</t>
    <rPh sb="1" eb="3">
      <t>イリョウ</t>
    </rPh>
    <phoneticPr fontId="2"/>
  </si>
  <si>
    <t>2介護</t>
    <rPh sb="1" eb="3">
      <t>カイゴ</t>
    </rPh>
    <phoneticPr fontId="2"/>
  </si>
  <si>
    <t>介護</t>
    <rPh sb="0" eb="2">
      <t>カイゴ</t>
    </rPh>
    <phoneticPr fontId="2"/>
  </si>
  <si>
    <t>7法 後期分</t>
    <rPh sb="1" eb="2">
      <t>ホウ</t>
    </rPh>
    <rPh sb="3" eb="5">
      <t>コウキ</t>
    </rPh>
    <rPh sb="5" eb="6">
      <t>ブン</t>
    </rPh>
    <phoneticPr fontId="2"/>
  </si>
  <si>
    <t>5法 後期分</t>
    <rPh sb="1" eb="2">
      <t>ホウ</t>
    </rPh>
    <rPh sb="3" eb="5">
      <t>コウキ</t>
    </rPh>
    <rPh sb="5" eb="6">
      <t>ブン</t>
    </rPh>
    <phoneticPr fontId="2"/>
  </si>
  <si>
    <t>2法 後期分</t>
    <rPh sb="1" eb="2">
      <t>ホウ</t>
    </rPh>
    <rPh sb="3" eb="5">
      <t>コウキ</t>
    </rPh>
    <rPh sb="5" eb="6">
      <t>ブン</t>
    </rPh>
    <phoneticPr fontId="2"/>
  </si>
  <si>
    <t>後期支援金分</t>
    <rPh sb="0" eb="2">
      <t>コウキ</t>
    </rPh>
    <rPh sb="2" eb="5">
      <t>シエンキン</t>
    </rPh>
    <rPh sb="5" eb="6">
      <t>ブン</t>
    </rPh>
    <phoneticPr fontId="2"/>
  </si>
  <si>
    <t>後期</t>
    <rPh sb="0" eb="2">
      <t>コウキ</t>
    </rPh>
    <phoneticPr fontId="2"/>
  </si>
  <si>
    <t>7後期</t>
    <rPh sb="1" eb="3">
      <t>コウキ</t>
    </rPh>
    <phoneticPr fontId="2"/>
  </si>
  <si>
    <t>5後期</t>
    <rPh sb="1" eb="3">
      <t>コウキ</t>
    </rPh>
    <phoneticPr fontId="2"/>
  </si>
  <si>
    <t>2後期</t>
    <rPh sb="1" eb="3">
      <t>コウキ</t>
    </rPh>
    <phoneticPr fontId="2"/>
  </si>
  <si>
    <t>後期所得割</t>
    <rPh sb="0" eb="2">
      <t>コウキ</t>
    </rPh>
    <rPh sb="2" eb="5">
      <t>ショトクワリ</t>
    </rPh>
    <phoneticPr fontId="2"/>
  </si>
  <si>
    <t>非自発的失業</t>
    <rPh sb="0" eb="4">
      <t>ヒジハツテキ</t>
    </rPh>
    <rPh sb="4" eb="6">
      <t>シツギョウ</t>
    </rPh>
    <phoneticPr fontId="2"/>
  </si>
  <si>
    <t>1か月あたりの保険料</t>
    <rPh sb="2" eb="3">
      <t>ゲツ</t>
    </rPh>
    <rPh sb="7" eb="10">
      <t>ホケンリョウ</t>
    </rPh>
    <phoneticPr fontId="2"/>
  </si>
  <si>
    <t>徳島市条例により定まる数値</t>
    <rPh sb="0" eb="2">
      <t>トクシマ</t>
    </rPh>
    <rPh sb="2" eb="5">
      <t>シジョウレイ</t>
    </rPh>
    <rPh sb="8" eb="9">
      <t>サダ</t>
    </rPh>
    <rPh sb="11" eb="13">
      <t>スウチ</t>
    </rPh>
    <phoneticPr fontId="2"/>
  </si>
  <si>
    <t>なし</t>
    <phoneticPr fontId="2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</si>
  <si>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2"/>
  </si>
  <si>
    <t>介護納付金分</t>
    <rPh sb="0" eb="2">
      <t>カイゴ</t>
    </rPh>
    <rPh sb="2" eb="5">
      <t>ノウフキン</t>
    </rPh>
    <rPh sb="5" eb="6">
      <t>ブン</t>
    </rPh>
    <phoneticPr fontId="2"/>
  </si>
  <si>
    <t>被保険者均等割額</t>
    <rPh sb="0" eb="4">
      <t>ヒホケンシャ</t>
    </rPh>
    <rPh sb="4" eb="6">
      <t>キントウ</t>
    </rPh>
    <rPh sb="6" eb="7">
      <t>ワ</t>
    </rPh>
    <rPh sb="7" eb="8">
      <t>ガク</t>
    </rPh>
    <phoneticPr fontId="2"/>
  </si>
  <si>
    <t>世帯別平等割額</t>
    <rPh sb="0" eb="3">
      <t>セタイベツ</t>
    </rPh>
    <rPh sb="3" eb="5">
      <t>ビョウドウ</t>
    </rPh>
    <rPh sb="5" eb="6">
      <t>ワ</t>
    </rPh>
    <rPh sb="6" eb="7">
      <t>ガク</t>
    </rPh>
    <phoneticPr fontId="2"/>
  </si>
  <si>
    <t>賦課限度額</t>
    <rPh sb="0" eb="2">
      <t>フカ</t>
    </rPh>
    <rPh sb="2" eb="4">
      <t>ゲンド</t>
    </rPh>
    <rPh sb="4" eb="5">
      <t>ガク</t>
    </rPh>
    <phoneticPr fontId="2"/>
  </si>
  <si>
    <t>賦課限度額</t>
    <phoneticPr fontId="2"/>
  </si>
  <si>
    <t>介護納付金分</t>
    <phoneticPr fontId="2"/>
  </si>
  <si>
    <t>後期支援金分</t>
    <phoneticPr fontId="2"/>
  </si>
  <si>
    <t>医療給付費分</t>
    <phoneticPr fontId="2"/>
  </si>
  <si>
    <t>固定資産税額</t>
    <phoneticPr fontId="2"/>
  </si>
  <si>
    <t>所得割額計算書</t>
    <phoneticPr fontId="2"/>
  </si>
  <si>
    <t>年齢</t>
    <rPh sb="0" eb="2">
      <t>ネンレイ</t>
    </rPh>
    <phoneticPr fontId="2"/>
  </si>
  <si>
    <t>介護保険</t>
    <rPh sb="0" eb="2">
      <t>カイゴ</t>
    </rPh>
    <rPh sb="2" eb="4">
      <t>ホケン</t>
    </rPh>
    <phoneticPr fontId="2"/>
  </si>
  <si>
    <t>給与収入</t>
    <rPh sb="0" eb="2">
      <t>キュウヨ</t>
    </rPh>
    <rPh sb="2" eb="4">
      <t>シュウニュウ</t>
    </rPh>
    <phoneticPr fontId="2"/>
  </si>
  <si>
    <t>年金収入</t>
    <rPh sb="0" eb="2">
      <t>ネンキン</t>
    </rPh>
    <rPh sb="2" eb="4">
      <t>シュウニュウ</t>
    </rPh>
    <phoneticPr fontId="2"/>
  </si>
  <si>
    <t>所得合計</t>
    <rPh sb="0" eb="2">
      <t>ショトク</t>
    </rPh>
    <rPh sb="2" eb="4">
      <t>ゴウケイ</t>
    </rPh>
    <phoneticPr fontId="2"/>
  </si>
  <si>
    <t>介護資産割</t>
    <rPh sb="0" eb="2">
      <t>カイゴ</t>
    </rPh>
    <rPh sb="2" eb="4">
      <t>シサン</t>
    </rPh>
    <rPh sb="4" eb="5">
      <t>ショトクワリ</t>
    </rPh>
    <phoneticPr fontId="2"/>
  </si>
  <si>
    <t>後期資産割</t>
    <rPh sb="0" eb="2">
      <t>コウキ</t>
    </rPh>
    <phoneticPr fontId="2"/>
  </si>
  <si>
    <t>所得金額調整控除</t>
    <phoneticPr fontId="2"/>
  </si>
  <si>
    <t>事業+不動産所得</t>
    <rPh sb="0" eb="2">
      <t>ジギョウ</t>
    </rPh>
    <rPh sb="3" eb="6">
      <t>フドウサン</t>
    </rPh>
    <rPh sb="6" eb="8">
      <t>ショトク</t>
    </rPh>
    <phoneticPr fontId="2"/>
  </si>
  <si>
    <t>高所得年金控除減額</t>
    <rPh sb="0" eb="3">
      <t>コウショトク</t>
    </rPh>
    <rPh sb="3" eb="5">
      <t>ネンキン</t>
    </rPh>
    <rPh sb="5" eb="7">
      <t>コウジョ</t>
    </rPh>
    <rPh sb="7" eb="9">
      <t>ゲンガク</t>
    </rPh>
    <phoneticPr fontId="2"/>
  </si>
  <si>
    <t>非自発反映後</t>
    <rPh sb="0" eb="1">
      <t>ヒ</t>
    </rPh>
    <rPh sb="1" eb="3">
      <t>ジハツ</t>
    </rPh>
    <rPh sb="3" eb="5">
      <t>ハンエイ</t>
    </rPh>
    <rPh sb="5" eb="6">
      <t>アト</t>
    </rPh>
    <phoneticPr fontId="2"/>
  </si>
  <si>
    <t>資産割額計算書</t>
    <rPh sb="0" eb="2">
      <t>シサン</t>
    </rPh>
    <rPh sb="2" eb="3">
      <t>ワリ</t>
    </rPh>
    <rPh sb="3" eb="4">
      <t>ガク</t>
    </rPh>
    <rPh sb="4" eb="7">
      <t>ケイサンショ</t>
    </rPh>
    <phoneticPr fontId="2"/>
  </si>
  <si>
    <t>年齢チェック</t>
    <rPh sb="0" eb="2">
      <t>ネンレイ</t>
    </rPh>
    <phoneticPr fontId="2"/>
  </si>
  <si>
    <t>計算結果はあくまで試算であるため、実際の保険料とは異なることがあります。</t>
  </si>
  <si>
    <t>加入者全員が１年間加入するものとして計算しております。</t>
  </si>
  <si>
    <t>　・保険料の減免、所得の低い世帯への軽減措置は反映しておりません。</t>
    <phoneticPr fontId="2"/>
  </si>
  <si>
    <t>　・年度の途中で４０歳または６５歳になる方の介護納付金分は正確に計算できていません。</t>
    <phoneticPr fontId="2"/>
  </si>
  <si>
    <t>事業所得
(営業等・農業)</t>
    <rPh sb="0" eb="2">
      <t>ジギョウ</t>
    </rPh>
    <rPh sb="2" eb="4">
      <t>ショトク</t>
    </rPh>
    <rPh sb="10" eb="12">
      <t>ノウギョウ</t>
    </rPh>
    <phoneticPr fontId="2"/>
  </si>
  <si>
    <t>年齢
（1/1現在）</t>
    <rPh sb="7" eb="9">
      <t>ゲンザイ</t>
    </rPh>
    <phoneticPr fontId="2"/>
  </si>
  <si>
    <t>公的年金
(企業年金含む)</t>
    <rPh sb="0" eb="2">
      <t>コウテキ</t>
    </rPh>
    <rPh sb="2" eb="4">
      <t>ネンキン</t>
    </rPh>
    <rPh sb="8" eb="10">
      <t>ネンキン</t>
    </rPh>
    <phoneticPr fontId="2"/>
  </si>
  <si>
    <t>所得金額（各収入から必要経費を差し引いた金額）の合計を入力してください</t>
    <phoneticPr fontId="2"/>
  </si>
  <si>
    <t>　・上記以外の収入（例：利子所得、配当所得、分離所得など）がある方は保険年金課までお問い合わせください。</t>
    <rPh sb="22" eb="24">
      <t>ブンリ</t>
    </rPh>
    <rPh sb="24" eb="26">
      <t>ショトク</t>
    </rPh>
    <phoneticPr fontId="2"/>
  </si>
  <si>
    <t>保険料内訳</t>
    <rPh sb="0" eb="3">
      <t>ホケンリョウ</t>
    </rPh>
    <rPh sb="3" eb="5">
      <t>ウチワケ</t>
    </rPh>
    <phoneticPr fontId="2"/>
  </si>
  <si>
    <t>⇒</t>
    <phoneticPr fontId="2"/>
  </si>
  <si>
    <t>実際のお支払い額は「加入期間の保険料」÷「届出月の翌月から翌年３月までの月数」となります。</t>
    <phoneticPr fontId="2"/>
  </si>
  <si>
    <t>※４月～６月までに届出いただいた場合は「加入期間の保険料」÷「９回」となります。</t>
    <phoneticPr fontId="2"/>
  </si>
  <si>
    <r>
      <t>非自発的失業軽減特例適用に該当する場合は『あり』を選択してください
６５歳未満の方で雇用保険受給資格者証の「離職理由」欄に、11・12・21・22・23・31・32・33・34のいずれかの番号コードの記載がある方</t>
    </r>
    <r>
      <rPr>
        <u/>
        <sz val="10"/>
        <rFont val="ＭＳ Ｐゴシック"/>
        <family val="3"/>
        <charset val="128"/>
      </rPr>
      <t>（適用には申請が必要です）</t>
    </r>
    <rPh sb="107" eb="109">
      <t>テキヨウ</t>
    </rPh>
    <rPh sb="111" eb="113">
      <t>シンセイ</t>
    </rPh>
    <rPh sb="114" eb="116">
      <t>ヒツヨウ</t>
    </rPh>
    <phoneticPr fontId="2"/>
  </si>
  <si>
    <r>
      <t>年間</t>
    </r>
    <r>
      <rPr>
        <sz val="10"/>
        <color indexed="10"/>
        <rFont val="ＭＳ Ｐゴシック"/>
        <family val="3"/>
        <charset val="128"/>
      </rPr>
      <t>医療</t>
    </r>
    <r>
      <rPr>
        <sz val="10"/>
        <rFont val="ＭＳ Ｐゴシック"/>
        <family val="3"/>
        <charset val="128"/>
      </rPr>
      <t>保険料</t>
    </r>
    <rPh sb="0" eb="2">
      <t>ネンカン</t>
    </rPh>
    <rPh sb="2" eb="4">
      <t>イリョウ</t>
    </rPh>
    <rPh sb="4" eb="7">
      <t>ホケンリョウ</t>
    </rPh>
    <phoneticPr fontId="2"/>
  </si>
  <si>
    <r>
      <t>年間</t>
    </r>
    <r>
      <rPr>
        <sz val="10"/>
        <color indexed="10"/>
        <rFont val="ＭＳ Ｐゴシック"/>
        <family val="3"/>
        <charset val="128"/>
      </rPr>
      <t>後期</t>
    </r>
    <r>
      <rPr>
        <sz val="10"/>
        <rFont val="ＭＳ Ｐゴシック"/>
        <family val="3"/>
        <charset val="128"/>
      </rPr>
      <t>保険料</t>
    </r>
    <rPh sb="0" eb="2">
      <t>ネンカン</t>
    </rPh>
    <rPh sb="2" eb="4">
      <t>コウキ</t>
    </rPh>
    <rPh sb="4" eb="6">
      <t>ホケン</t>
    </rPh>
    <rPh sb="6" eb="7">
      <t>リョウ</t>
    </rPh>
    <phoneticPr fontId="2"/>
  </si>
  <si>
    <r>
      <t>年間</t>
    </r>
    <r>
      <rPr>
        <sz val="10"/>
        <color indexed="10"/>
        <rFont val="ＭＳ Ｐゴシック"/>
        <family val="3"/>
        <charset val="128"/>
      </rPr>
      <t>介護分</t>
    </r>
    <r>
      <rPr>
        <sz val="10"/>
        <rFont val="ＭＳ Ｐゴシック"/>
        <family val="3"/>
        <charset val="128"/>
      </rPr>
      <t>保険料</t>
    </r>
    <rPh sb="0" eb="2">
      <t>ネンカン</t>
    </rPh>
    <rPh sb="2" eb="4">
      <t>カイゴ</t>
    </rPh>
    <rPh sb="4" eb="5">
      <t>ブン</t>
    </rPh>
    <rPh sb="5" eb="7">
      <t>ホケン</t>
    </rPh>
    <rPh sb="7" eb="8">
      <t>リョウ</t>
    </rPh>
    <phoneticPr fontId="2"/>
  </si>
  <si>
    <t>年間保険料</t>
    <rPh sb="0" eb="2">
      <t>ネンカン</t>
    </rPh>
    <rPh sb="2" eb="5">
      <t>ホケンリョウ</t>
    </rPh>
    <phoneticPr fontId="2"/>
  </si>
  <si>
    <t>　・実際には、年度の途中で加入・脱退等をしたときは、月割りで計算することになります。</t>
    <rPh sb="2" eb="4">
      <t>ジッサイ</t>
    </rPh>
    <phoneticPr fontId="2"/>
  </si>
  <si>
    <r>
      <rPr>
        <u/>
        <sz val="10"/>
        <rFont val="ＭＳ Ｐゴシック"/>
        <family val="3"/>
        <charset val="128"/>
      </rPr>
      <t>加入予定者</t>
    </r>
    <r>
      <rPr>
        <u/>
        <sz val="10"/>
        <color indexed="10"/>
        <rFont val="ＭＳ Ｐゴシック"/>
        <family val="3"/>
        <charset val="128"/>
      </rPr>
      <t>全員</t>
    </r>
    <r>
      <rPr>
        <sz val="10"/>
        <rFont val="ＭＳ Ｐゴシック"/>
        <family val="3"/>
        <charset val="128"/>
      </rPr>
      <t xml:space="preserve">の１月１日時点の年齢を入力してください
</t>
    </r>
    <r>
      <rPr>
        <b/>
        <sz val="10"/>
        <color indexed="10"/>
        <rFont val="ＭＳ Ｐゴシック"/>
        <family val="3"/>
        <charset val="128"/>
      </rPr>
      <t>収入がない方も年齢は必ず入力してください</t>
    </r>
    <phoneticPr fontId="2"/>
  </si>
  <si>
    <t>　・未就学児の均等割額の減額は反映しておりません。</t>
    <rPh sb="2" eb="6">
      <t>ミシュウガクジ</t>
    </rPh>
    <rPh sb="7" eb="10">
      <t>キントウワリ</t>
    </rPh>
    <rPh sb="10" eb="11">
      <t>ガク</t>
    </rPh>
    <rPh sb="12" eb="14">
      <t>ゲンガク</t>
    </rPh>
    <rPh sb="15" eb="17">
      <t>ハンエイ</t>
    </rPh>
    <phoneticPr fontId="2"/>
  </si>
  <si>
    <t>徳島市に固定資産（土地・建物）がある方は、令和５年度の固定資産税額を入力してください
共有分がある場合は持ち分に応じて按分してください
他市町村で課税されている固定資産税は含みません</t>
  </si>
  <si>
    <t>令和８年度　徳島市国民健康保険料　試算</t>
    <phoneticPr fontId="2"/>
  </si>
  <si>
    <t>令和７年中の収入が、給与収入、年金収入、事業所得（営業等・農業）及び不動産所得のみの方の国民健康保険料の概算です。</t>
    <rPh sb="32" eb="33">
      <t>オヨ</t>
    </rPh>
    <rPh sb="34" eb="37">
      <t>フドウサン</t>
    </rPh>
    <rPh sb="37" eb="39">
      <t>ショトク</t>
    </rPh>
    <phoneticPr fontId="2"/>
  </si>
  <si>
    <t>令和７年分給与所得の源泉徴収票の「支払金額」欄に記載されている金額（複数ある方は合算）を入力してください
令和７年中（１月～１２月）の税込みの給与収入の総額になります</t>
    <phoneticPr fontId="2"/>
  </si>
  <si>
    <t>令和７年分公的年金等の源泉徴収票の「支払金額」欄に記載されている金額（複数ある方は合算）を入力してください（遺族年金、障害年金は除きます）</t>
    <phoneticPr fontId="2"/>
  </si>
  <si>
    <t>子ども・子育て支援金分</t>
    <rPh sb="0" eb="1">
      <t>コ</t>
    </rPh>
    <rPh sb="4" eb="6">
      <t>コソダ</t>
    </rPh>
    <rPh sb="7" eb="9">
      <t>シエン</t>
    </rPh>
    <rPh sb="9" eb="10">
      <t>キン</t>
    </rPh>
    <rPh sb="10" eb="11">
      <t>ブン</t>
    </rPh>
    <phoneticPr fontId="2"/>
  </si>
  <si>
    <r>
      <t>年間</t>
    </r>
    <r>
      <rPr>
        <sz val="10"/>
        <color indexed="10"/>
        <rFont val="ＭＳ Ｐゴシック"/>
        <family val="3"/>
        <charset val="128"/>
      </rPr>
      <t>子ども分</t>
    </r>
    <r>
      <rPr>
        <sz val="10"/>
        <rFont val="ＭＳ Ｐゴシック"/>
        <family val="3"/>
        <charset val="128"/>
      </rPr>
      <t>保険料</t>
    </r>
    <rPh sb="0" eb="2">
      <t>ネンカン</t>
    </rPh>
    <rPh sb="2" eb="3">
      <t>コ</t>
    </rPh>
    <rPh sb="5" eb="6">
      <t>ブン</t>
    </rPh>
    <rPh sb="6" eb="8">
      <t>ホケン</t>
    </rPh>
    <rPh sb="8" eb="9">
      <t>リョウ</t>
    </rPh>
    <phoneticPr fontId="2"/>
  </si>
  <si>
    <t>子ども・子育て
支援金分</t>
    <rPh sb="0" eb="1">
      <t>コ</t>
    </rPh>
    <rPh sb="4" eb="6">
      <t>コソダ</t>
    </rPh>
    <rPh sb="8" eb="11">
      <t>シエンキン</t>
    </rPh>
    <rPh sb="11" eb="12">
      <t>ブン</t>
    </rPh>
    <phoneticPr fontId="2"/>
  </si>
  <si>
    <t>子ども分</t>
    <rPh sb="0" eb="1">
      <t>コ</t>
    </rPh>
    <rPh sb="3" eb="4">
      <t>ブン</t>
    </rPh>
    <phoneticPr fontId="2"/>
  </si>
  <si>
    <t>子ども・所得割</t>
    <rPh sb="0" eb="1">
      <t>コ</t>
    </rPh>
    <rPh sb="4" eb="7">
      <t>ショトクワリ</t>
    </rPh>
    <phoneticPr fontId="2"/>
  </si>
  <si>
    <t>7法 子ども分</t>
    <rPh sb="1" eb="2">
      <t>ホウ</t>
    </rPh>
    <rPh sb="3" eb="4">
      <t>コ</t>
    </rPh>
    <rPh sb="6" eb="7">
      <t>ブン</t>
    </rPh>
    <phoneticPr fontId="2"/>
  </si>
  <si>
    <t>子ども</t>
    <rPh sb="0" eb="1">
      <t>コ</t>
    </rPh>
    <phoneticPr fontId="2"/>
  </si>
  <si>
    <t>7子ども</t>
    <rPh sb="1" eb="2">
      <t>コ</t>
    </rPh>
    <phoneticPr fontId="2"/>
  </si>
  <si>
    <t>5法 子ども分</t>
    <rPh sb="1" eb="2">
      <t>ホウ</t>
    </rPh>
    <rPh sb="3" eb="4">
      <t>コ</t>
    </rPh>
    <rPh sb="6" eb="7">
      <t>ブン</t>
    </rPh>
    <phoneticPr fontId="2"/>
  </si>
  <si>
    <t>2法 子ども分</t>
    <rPh sb="3" eb="4">
      <t>コ</t>
    </rPh>
    <phoneticPr fontId="2"/>
  </si>
  <si>
    <t>7子ども</t>
    <rPh sb="1" eb="2">
      <t>コ</t>
    </rPh>
    <phoneticPr fontId="2"/>
  </si>
  <si>
    <t>（均等割+18歳以上均等割）</t>
    <rPh sb="1" eb="4">
      <t>キントウワ</t>
    </rPh>
    <rPh sb="7" eb="10">
      <t>サイイジョウ</t>
    </rPh>
    <rPh sb="10" eb="13">
      <t>キントウワリ</t>
    </rPh>
    <phoneticPr fontId="2"/>
  </si>
  <si>
    <t>子ども納付金分</t>
    <rPh sb="0" eb="1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</si>
</sst>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&quot;円&quot;;[Red]\-#,##0&quot;円&quot;"/>
    <numFmt numFmtId="178" formatCode="#,##0_ ;[Red]\-#,##0\ "/>
    <numFmt numFmtId="179" formatCode="0.0%"/>
    <numFmt numFmtId="180" formatCode="0.000%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b/>
      <sz val="12"/>
      <color indexed="56"/>
      <name val="ＭＳ Ｐゴシック"/>
      <family val="3"/>
      <charset val="128"/>
    </font>
    <font>
      <b/>
      <sz val="14"/>
      <color indexed="5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u/>
      <sz val="10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5"/>
      </right>
      <top style="thick">
        <color indexed="15"/>
      </top>
      <bottom/>
      <diagonal/>
    </border>
    <border>
      <left/>
      <right style="thick">
        <color indexed="15"/>
      </right>
      <top/>
      <bottom/>
      <diagonal/>
    </border>
    <border>
      <left/>
      <right style="thick">
        <color indexed="15"/>
      </right>
      <top/>
      <bottom style="thick">
        <color indexed="15"/>
      </bottom>
      <diagonal/>
    </border>
    <border>
      <left style="thick">
        <color indexed="15"/>
      </left>
      <right/>
      <top/>
      <bottom/>
      <diagonal/>
    </border>
    <border>
      <left style="thick">
        <color indexed="15"/>
      </left>
      <right/>
      <top/>
      <bottom style="thick">
        <color indexed="15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15"/>
      </left>
      <right/>
      <top style="thick">
        <color indexed="1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34">
    <xf numFmtId="0" fontId="0" fillId="0" borderId="0" xfId="0"/>
    <xf numFmtId="38" fontId="0" fillId="0" borderId="0" xfId="2" applyFont="1"/>
    <xf numFmtId="0" fontId="0" fillId="0" borderId="0" xfId="0" applyAlignment="1">
      <alignment horizontal="center"/>
    </xf>
    <xf numFmtId="0" fontId="3" fillId="0" borderId="0" xfId="0" applyFont="1"/>
    <xf numFmtId="38" fontId="4" fillId="0" borderId="0" xfId="2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38" fontId="0" fillId="0" borderId="1" xfId="2" applyFont="1" applyBorder="1"/>
    <xf numFmtId="0" fontId="0" fillId="0" borderId="2" xfId="0" applyBorder="1"/>
    <xf numFmtId="38" fontId="0" fillId="2" borderId="3" xfId="0" applyNumberFormat="1" applyFill="1" applyBorder="1"/>
    <xf numFmtId="0" fontId="0" fillId="2" borderId="4" xfId="0" applyFill="1" applyBorder="1"/>
    <xf numFmtId="0" fontId="0" fillId="0" borderId="3" xfId="0" applyBorder="1"/>
    <xf numFmtId="38" fontId="0" fillId="0" borderId="3" xfId="2" applyFont="1" applyBorder="1"/>
    <xf numFmtId="38" fontId="0" fillId="0" borderId="3" xfId="0" applyNumberFormat="1" applyBorder="1"/>
    <xf numFmtId="0" fontId="0" fillId="0" borderId="4" xfId="0" applyBorder="1"/>
    <xf numFmtId="0" fontId="4" fillId="0" borderId="0" xfId="2" applyNumberFormat="1" applyFont="1"/>
    <xf numFmtId="178" fontId="0" fillId="0" borderId="0" xfId="2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38" fontId="0" fillId="0" borderId="0" xfId="2" applyFont="1" applyAlignment="1">
      <alignment shrinkToFit="1"/>
    </xf>
    <xf numFmtId="38" fontId="0" fillId="0" borderId="10" xfId="0" applyNumberFormat="1" applyBorder="1"/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8" xfId="0" applyFill="1" applyBorder="1"/>
    <xf numFmtId="38" fontId="0" fillId="0" borderId="11" xfId="0" applyNumberFormat="1" applyBorder="1"/>
    <xf numFmtId="0" fontId="3" fillId="0" borderId="12" xfId="0" applyFont="1" applyBorder="1"/>
    <xf numFmtId="38" fontId="4" fillId="0" borderId="12" xfId="2" applyFont="1" applyBorder="1"/>
    <xf numFmtId="0" fontId="5" fillId="0" borderId="13" xfId="0" applyFont="1" applyBorder="1"/>
    <xf numFmtId="0" fontId="3" fillId="0" borderId="0" xfId="0" applyFont="1" applyBorder="1"/>
    <xf numFmtId="38" fontId="4" fillId="0" borderId="0" xfId="2" applyFont="1" applyBorder="1"/>
    <xf numFmtId="0" fontId="5" fillId="0" borderId="14" xfId="0" applyFont="1" applyBorder="1"/>
    <xf numFmtId="0" fontId="0" fillId="0" borderId="14" xfId="0" applyBorder="1"/>
    <xf numFmtId="0" fontId="3" fillId="0" borderId="15" xfId="0" applyFont="1" applyBorder="1"/>
    <xf numFmtId="38" fontId="4" fillId="0" borderId="15" xfId="2" applyFont="1" applyBorder="1"/>
    <xf numFmtId="0" fontId="5" fillId="0" borderId="16" xfId="0" applyFont="1" applyBorder="1"/>
    <xf numFmtId="0" fontId="4" fillId="0" borderId="0" xfId="2" applyNumberFormat="1" applyFont="1" applyBorder="1"/>
    <xf numFmtId="179" fontId="4" fillId="0" borderId="0" xfId="1" applyNumberFormat="1" applyFont="1" applyBorder="1"/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38" fontId="1" fillId="6" borderId="1" xfId="2" applyFont="1" applyFill="1" applyBorder="1"/>
    <xf numFmtId="38" fontId="1" fillId="7" borderId="1" xfId="2" applyFont="1" applyFill="1" applyBorder="1"/>
    <xf numFmtId="0" fontId="0" fillId="7" borderId="1" xfId="0" applyFill="1" applyBorder="1" applyAlignment="1">
      <alignment horizontal="center" vertical="center"/>
    </xf>
    <xf numFmtId="38" fontId="1" fillId="8" borderId="1" xfId="2" applyFont="1" applyFill="1" applyBorder="1"/>
    <xf numFmtId="0" fontId="0" fillId="0" borderId="0" xfId="0" applyAlignment="1"/>
    <xf numFmtId="0" fontId="0" fillId="0" borderId="0" xfId="0" applyAlignment="1">
      <alignment vertical="center"/>
    </xf>
    <xf numFmtId="38" fontId="1" fillId="5" borderId="1" xfId="2" applyFont="1" applyFill="1" applyBorder="1"/>
    <xf numFmtId="0" fontId="0" fillId="4" borderId="1" xfId="0" applyFill="1" applyBorder="1" applyAlignment="1">
      <alignment horizontal="center" vertical="center"/>
    </xf>
    <xf numFmtId="38" fontId="1" fillId="4" borderId="1" xfId="2" applyFont="1" applyFill="1" applyBorder="1"/>
    <xf numFmtId="0" fontId="0" fillId="3" borderId="1" xfId="0" applyFill="1" applyBorder="1" applyAlignment="1">
      <alignment horizontal="center" vertical="center"/>
    </xf>
    <xf numFmtId="38" fontId="1" fillId="3" borderId="1" xfId="2" applyFont="1" applyFill="1" applyBorder="1"/>
    <xf numFmtId="0" fontId="0" fillId="9" borderId="1" xfId="0" applyFill="1" applyBorder="1" applyAlignment="1">
      <alignment horizontal="center" vertical="center"/>
    </xf>
    <xf numFmtId="38" fontId="1" fillId="9" borderId="1" xfId="2" applyFont="1" applyFill="1" applyBorder="1"/>
    <xf numFmtId="38" fontId="1" fillId="9" borderId="1" xfId="2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38" fontId="0" fillId="0" borderId="17" xfId="0" applyNumberFormat="1" applyBorder="1"/>
    <xf numFmtId="0" fontId="0" fillId="4" borderId="1" xfId="0" applyFont="1" applyFill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18" xfId="0" applyFont="1" applyFill="1" applyBorder="1" applyAlignment="1">
      <alignment horizontal="center" vertical="center" shrinkToFit="1"/>
    </xf>
    <xf numFmtId="177" fontId="11" fillId="0" borderId="19" xfId="0" applyNumberFormat="1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177" fontId="11" fillId="0" borderId="21" xfId="0" applyNumberFormat="1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9" fillId="0" borderId="26" xfId="0" applyFont="1" applyFill="1" applyBorder="1" applyAlignment="1">
      <alignment vertical="center" wrapText="1" shrinkToFit="1"/>
    </xf>
    <xf numFmtId="0" fontId="0" fillId="0" borderId="27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vertical="center" shrinkToFit="1"/>
    </xf>
    <xf numFmtId="0" fontId="0" fillId="0" borderId="29" xfId="0" applyFont="1" applyFill="1" applyBorder="1" applyAlignment="1">
      <alignment horizontal="center" vertical="center" wrapText="1" shrinkToFit="1"/>
    </xf>
    <xf numFmtId="0" fontId="9" fillId="0" borderId="30" xfId="0" applyFont="1" applyFill="1" applyBorder="1" applyAlignment="1">
      <alignment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9" fillId="0" borderId="19" xfId="0" applyFont="1" applyFill="1" applyBorder="1" applyAlignment="1">
      <alignment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33" xfId="0" applyFont="1" applyFill="1" applyBorder="1" applyAlignment="1">
      <alignment horizontal="center" vertical="center" shrinkToFit="1"/>
    </xf>
    <xf numFmtId="177" fontId="6" fillId="0" borderId="26" xfId="0" applyNumberFormat="1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14" fillId="10" borderId="33" xfId="0" applyFont="1" applyFill="1" applyBorder="1" applyAlignment="1">
      <alignment horizontal="center" vertical="center" shrinkToFit="1"/>
    </xf>
    <xf numFmtId="177" fontId="15" fillId="10" borderId="26" xfId="0" applyNumberFormat="1" applyFont="1" applyFill="1" applyBorder="1" applyAlignment="1">
      <alignment horizontal="center" vertical="center" shrinkToFit="1"/>
    </xf>
    <xf numFmtId="0" fontId="9" fillId="0" borderId="0" xfId="0" applyFont="1"/>
    <xf numFmtId="176" fontId="8" fillId="11" borderId="36" xfId="0" applyNumberFormat="1" applyFont="1" applyFill="1" applyBorder="1" applyAlignment="1" applyProtection="1">
      <alignment horizontal="center" vertical="center" shrinkToFit="1"/>
      <protection locked="0"/>
    </xf>
    <xf numFmtId="176" fontId="8" fillId="11" borderId="37" xfId="0" applyNumberFormat="1" applyFont="1" applyFill="1" applyBorder="1" applyAlignment="1" applyProtection="1">
      <alignment horizontal="center" vertical="center" shrinkToFit="1"/>
      <protection locked="0"/>
    </xf>
    <xf numFmtId="176" fontId="8" fillId="11" borderId="26" xfId="0" applyNumberFormat="1" applyFont="1" applyFill="1" applyBorder="1" applyAlignment="1" applyProtection="1">
      <alignment horizontal="center" vertical="center" shrinkToFit="1"/>
      <protection locked="0"/>
    </xf>
    <xf numFmtId="176" fontId="7" fillId="11" borderId="36" xfId="0" applyNumberFormat="1" applyFont="1" applyFill="1" applyBorder="1" applyAlignment="1" applyProtection="1">
      <alignment horizontal="center" vertical="center" shrinkToFit="1"/>
      <protection locked="0"/>
    </xf>
    <xf numFmtId="176" fontId="7" fillId="11" borderId="26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5" xfId="0" applyFont="1" applyFill="1" applyBorder="1" applyAlignment="1">
      <alignment horizontal="center" vertical="center" shrinkToFit="1"/>
    </xf>
    <xf numFmtId="177" fontId="7" fillId="11" borderId="38" xfId="0" applyNumberFormat="1" applyFont="1" applyFill="1" applyBorder="1" applyAlignment="1" applyProtection="1">
      <alignment vertical="center" shrinkToFit="1"/>
      <protection locked="0"/>
    </xf>
    <xf numFmtId="177" fontId="7" fillId="11" borderId="39" xfId="0" applyNumberFormat="1" applyFont="1" applyFill="1" applyBorder="1" applyAlignment="1" applyProtection="1">
      <alignment vertical="center" shrinkToFit="1"/>
      <protection locked="0"/>
    </xf>
    <xf numFmtId="177" fontId="7" fillId="11" borderId="19" xfId="0" applyNumberFormat="1" applyFont="1" applyFill="1" applyBorder="1" applyAlignment="1" applyProtection="1">
      <alignment vertical="center" shrinkToFit="1"/>
      <protection locked="0"/>
    </xf>
    <xf numFmtId="177" fontId="7" fillId="11" borderId="40" xfId="0" applyNumberFormat="1" applyFont="1" applyFill="1" applyBorder="1" applyAlignment="1" applyProtection="1">
      <alignment vertical="center" shrinkToFit="1"/>
      <protection locked="0"/>
    </xf>
    <xf numFmtId="177" fontId="7" fillId="11" borderId="41" xfId="0" applyNumberFormat="1" applyFont="1" applyFill="1" applyBorder="1" applyAlignment="1" applyProtection="1">
      <alignment vertical="center" shrinkToFit="1"/>
      <protection locked="0"/>
    </xf>
    <xf numFmtId="177" fontId="7" fillId="11" borderId="22" xfId="0" applyNumberFormat="1" applyFont="1" applyFill="1" applyBorder="1" applyAlignment="1" applyProtection="1">
      <alignment vertical="center" shrinkToFit="1"/>
      <protection locked="0"/>
    </xf>
    <xf numFmtId="177" fontId="7" fillId="11" borderId="42" xfId="0" applyNumberFormat="1" applyFont="1" applyFill="1" applyBorder="1" applyAlignment="1" applyProtection="1">
      <alignment vertical="center" shrinkToFit="1"/>
      <protection locked="0"/>
    </xf>
    <xf numFmtId="177" fontId="7" fillId="11" borderId="43" xfId="0" applyNumberFormat="1" applyFont="1" applyFill="1" applyBorder="1" applyAlignment="1" applyProtection="1">
      <alignment vertical="center" shrinkToFit="1"/>
      <protection locked="0"/>
    </xf>
    <xf numFmtId="177" fontId="7" fillId="11" borderId="30" xfId="0" applyNumberFormat="1" applyFont="1" applyFill="1" applyBorder="1" applyAlignment="1" applyProtection="1">
      <alignment vertical="center" shrinkToFit="1"/>
      <protection locked="0"/>
    </xf>
    <xf numFmtId="177" fontId="7" fillId="11" borderId="44" xfId="0" applyNumberFormat="1" applyFont="1" applyFill="1" applyBorder="1" applyAlignment="1" applyProtection="1">
      <alignment vertical="center" shrinkToFit="1"/>
      <protection locked="0"/>
    </xf>
    <xf numFmtId="177" fontId="7" fillId="11" borderId="5" xfId="0" applyNumberFormat="1" applyFont="1" applyFill="1" applyBorder="1" applyAlignment="1" applyProtection="1">
      <alignment vertical="center" shrinkToFit="1"/>
      <protection locked="0"/>
    </xf>
    <xf numFmtId="177" fontId="7" fillId="11" borderId="32" xfId="0" applyNumberFormat="1" applyFont="1" applyFill="1" applyBorder="1" applyAlignment="1" applyProtection="1">
      <alignment vertical="center" shrinkToFit="1"/>
      <protection locked="0"/>
    </xf>
    <xf numFmtId="177" fontId="7" fillId="11" borderId="36" xfId="0" applyNumberFormat="1" applyFont="1" applyFill="1" applyBorder="1" applyAlignment="1" applyProtection="1">
      <alignment vertical="center" shrinkToFit="1"/>
      <protection locked="0"/>
    </xf>
    <xf numFmtId="177" fontId="7" fillId="11" borderId="37" xfId="0" applyNumberFormat="1" applyFont="1" applyFill="1" applyBorder="1" applyAlignment="1" applyProtection="1">
      <alignment vertical="center" shrinkToFit="1"/>
      <protection locked="0"/>
    </xf>
    <xf numFmtId="177" fontId="7" fillId="11" borderId="26" xfId="0" applyNumberFormat="1" applyFont="1" applyFill="1" applyBorder="1" applyAlignment="1" applyProtection="1">
      <alignment vertical="center" shrinkToFit="1"/>
      <protection locked="0"/>
    </xf>
    <xf numFmtId="180" fontId="4" fillId="0" borderId="0" xfId="1" applyNumberFormat="1" applyFont="1" applyBorder="1"/>
    <xf numFmtId="0" fontId="0" fillId="0" borderId="0" xfId="0" applyFill="1" applyBorder="1"/>
    <xf numFmtId="0" fontId="9" fillId="0" borderId="48" xfId="0" applyFont="1" applyFill="1" applyBorder="1" applyAlignment="1">
      <alignment horizontal="center" vertical="center" shrinkToFit="1"/>
    </xf>
    <xf numFmtId="177" fontId="11" fillId="0" borderId="49" xfId="0" applyNumberFormat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39"/>
  </sheetPr>
  <dimension ref="A1:J32"/>
  <sheetViews>
    <sheetView showGridLines="0" tabSelected="1" zoomScale="90" zoomScaleNormal="90" workbookViewId="0">
      <selection activeCell="C18" sqref="C18"/>
    </sheetView>
  </sheetViews>
  <sheetFormatPr defaultRowHeight="13.5" x14ac:dyDescent="0.15"/>
  <cols>
    <col min="1" max="1" width="4.875" style="68" customWidth="1"/>
    <col min="2" max="2" width="15.25" style="68" customWidth="1"/>
    <col min="3" max="3" width="68" style="68" customWidth="1"/>
    <col min="4" max="10" width="14.625" style="68" customWidth="1"/>
    <col min="11" max="14" width="9" style="68"/>
    <col min="15" max="15" width="9" style="68" customWidth="1"/>
    <col min="16" max="17" width="9" style="68"/>
    <col min="18" max="18" width="9" style="68" customWidth="1"/>
    <col min="19" max="16384" width="9" style="68"/>
  </cols>
  <sheetData>
    <row r="1" spans="1:10" s="70" customFormat="1" ht="24" customHeight="1" x14ac:dyDescent="0.15">
      <c r="A1" s="68"/>
      <c r="B1" s="42" t="s">
        <v>108</v>
      </c>
      <c r="C1" s="68"/>
      <c r="E1" s="68"/>
      <c r="F1" s="68"/>
      <c r="G1" s="68"/>
      <c r="H1" s="68"/>
    </row>
    <row r="2" spans="1:10" s="70" customFormat="1" ht="8.25" customHeight="1" x14ac:dyDescent="0.15">
      <c r="A2" s="68"/>
      <c r="B2" s="68"/>
      <c r="C2" s="68"/>
      <c r="D2" s="68"/>
      <c r="E2" s="68"/>
      <c r="F2" s="68"/>
      <c r="G2" s="68"/>
      <c r="H2" s="68"/>
    </row>
    <row r="3" spans="1:10" s="70" customFormat="1" ht="18" customHeight="1" x14ac:dyDescent="0.15">
      <c r="A3" s="68"/>
      <c r="B3" s="69" t="s">
        <v>109</v>
      </c>
      <c r="C3" s="68"/>
      <c r="D3" s="68"/>
      <c r="E3" s="68"/>
      <c r="F3" s="68"/>
      <c r="G3" s="68"/>
      <c r="H3" s="68"/>
    </row>
    <row r="4" spans="1:10" s="70" customFormat="1" ht="18" customHeight="1" x14ac:dyDescent="0.15">
      <c r="A4" s="68"/>
      <c r="B4" s="69" t="s">
        <v>94</v>
      </c>
      <c r="C4" s="68"/>
      <c r="D4" s="68"/>
      <c r="E4" s="68"/>
      <c r="F4" s="68"/>
      <c r="G4" s="68"/>
      <c r="H4" s="68"/>
    </row>
    <row r="5" spans="1:10" s="70" customFormat="1" ht="8.25" customHeight="1" x14ac:dyDescent="0.15">
      <c r="A5" s="68"/>
      <c r="B5" s="68"/>
      <c r="C5" s="68"/>
      <c r="D5" s="68"/>
      <c r="E5" s="68"/>
      <c r="F5" s="68"/>
      <c r="G5" s="68"/>
      <c r="H5" s="68"/>
    </row>
    <row r="6" spans="1:10" s="70" customFormat="1" ht="18" customHeight="1" x14ac:dyDescent="0.15">
      <c r="A6" s="68"/>
      <c r="B6" s="73" t="s">
        <v>86</v>
      </c>
      <c r="C6" s="68"/>
      <c r="D6" s="68"/>
      <c r="E6" s="68"/>
      <c r="F6" s="68"/>
      <c r="G6" s="68"/>
      <c r="H6" s="68"/>
    </row>
    <row r="7" spans="1:10" s="70" customFormat="1" ht="18" customHeight="1" x14ac:dyDescent="0.15">
      <c r="A7" s="68"/>
      <c r="B7" s="69" t="s">
        <v>88</v>
      </c>
      <c r="C7" s="68"/>
      <c r="D7" s="68"/>
      <c r="E7" s="68"/>
      <c r="F7" s="68"/>
      <c r="G7" s="68"/>
      <c r="H7" s="68"/>
    </row>
    <row r="8" spans="1:10" s="70" customFormat="1" ht="18" customHeight="1" x14ac:dyDescent="0.15">
      <c r="A8" s="68"/>
      <c r="B8" s="69" t="s">
        <v>106</v>
      </c>
      <c r="C8" s="68"/>
      <c r="D8" s="68"/>
      <c r="E8" s="68"/>
      <c r="F8" s="68"/>
      <c r="G8" s="68"/>
      <c r="H8" s="68"/>
    </row>
    <row r="9" spans="1:10" s="70" customFormat="1" ht="18" customHeight="1" x14ac:dyDescent="0.15">
      <c r="A9" s="68"/>
      <c r="B9" s="69" t="s">
        <v>89</v>
      </c>
      <c r="C9" s="68"/>
      <c r="D9" s="68"/>
      <c r="E9" s="68"/>
      <c r="F9" s="68"/>
      <c r="G9" s="68"/>
      <c r="H9" s="68"/>
    </row>
    <row r="10" spans="1:10" s="70" customFormat="1" ht="8.25" customHeight="1" x14ac:dyDescent="0.15">
      <c r="A10" s="68"/>
      <c r="B10" s="68"/>
      <c r="C10" s="68"/>
      <c r="D10" s="68"/>
      <c r="E10" s="68"/>
      <c r="F10" s="68"/>
      <c r="G10" s="68"/>
      <c r="H10" s="68"/>
    </row>
    <row r="11" spans="1:10" s="70" customFormat="1" ht="18" customHeight="1" x14ac:dyDescent="0.15">
      <c r="A11" s="68"/>
      <c r="B11" s="69" t="s">
        <v>87</v>
      </c>
      <c r="C11" s="68"/>
      <c r="D11" s="68"/>
      <c r="E11" s="68"/>
      <c r="F11" s="68"/>
      <c r="G11" s="68"/>
      <c r="H11" s="68"/>
    </row>
    <row r="12" spans="1:10" s="70" customFormat="1" ht="18" customHeight="1" x14ac:dyDescent="0.15">
      <c r="A12" s="68"/>
      <c r="B12" s="69" t="s">
        <v>104</v>
      </c>
      <c r="C12" s="68"/>
      <c r="D12" s="68"/>
      <c r="E12" s="68"/>
      <c r="F12" s="68"/>
      <c r="G12" s="68"/>
      <c r="H12" s="68"/>
    </row>
    <row r="13" spans="1:10" s="70" customFormat="1" ht="8.25" customHeight="1" thickBot="1" x14ac:dyDescent="0.2">
      <c r="A13" s="68"/>
      <c r="B13" s="68"/>
      <c r="C13" s="68"/>
      <c r="D13" s="68"/>
      <c r="E13" s="68"/>
      <c r="F13" s="68"/>
      <c r="G13" s="68"/>
      <c r="H13" s="68"/>
    </row>
    <row r="14" spans="1:10" s="71" customFormat="1" ht="14.25" thickBot="1" x14ac:dyDescent="0.2">
      <c r="A14" s="68"/>
      <c r="B14" s="79"/>
      <c r="C14" s="80"/>
      <c r="D14" s="96" t="s">
        <v>9</v>
      </c>
      <c r="E14" s="97" t="s">
        <v>10</v>
      </c>
      <c r="F14" s="97" t="s">
        <v>11</v>
      </c>
      <c r="G14" s="97" t="s">
        <v>12</v>
      </c>
      <c r="H14" s="97" t="s">
        <v>13</v>
      </c>
      <c r="I14" s="97" t="s">
        <v>14</v>
      </c>
      <c r="J14" s="80" t="s">
        <v>15</v>
      </c>
    </row>
    <row r="15" spans="1:10" s="72" customFormat="1" ht="30.75" customHeight="1" thickBot="1" x14ac:dyDescent="0.2">
      <c r="A15" s="68"/>
      <c r="B15" s="81" t="s">
        <v>91</v>
      </c>
      <c r="C15" s="82" t="s">
        <v>105</v>
      </c>
      <c r="D15" s="101"/>
      <c r="E15" s="102"/>
      <c r="F15" s="102"/>
      <c r="G15" s="102"/>
      <c r="H15" s="102"/>
      <c r="I15" s="102"/>
      <c r="J15" s="103"/>
    </row>
    <row r="16" spans="1:10" s="72" customFormat="1" ht="53.25" customHeight="1" x14ac:dyDescent="0.15">
      <c r="A16" s="68"/>
      <c r="B16" s="83" t="s">
        <v>30</v>
      </c>
      <c r="C16" s="84" t="s">
        <v>110</v>
      </c>
      <c r="D16" s="107"/>
      <c r="E16" s="108"/>
      <c r="F16" s="108"/>
      <c r="G16" s="108"/>
      <c r="H16" s="108"/>
      <c r="I16" s="108"/>
      <c r="J16" s="109"/>
    </row>
    <row r="17" spans="1:10" s="72" customFormat="1" ht="53.25" hidden="1" customHeight="1" thickBot="1" x14ac:dyDescent="0.2">
      <c r="A17" s="68"/>
      <c r="B17" s="85" t="s">
        <v>28</v>
      </c>
      <c r="C17" s="86"/>
      <c r="D17" s="110"/>
      <c r="E17" s="111"/>
      <c r="F17" s="111"/>
      <c r="G17" s="111"/>
      <c r="H17" s="111"/>
      <c r="I17" s="111"/>
      <c r="J17" s="112"/>
    </row>
    <row r="18" spans="1:10" s="72" customFormat="1" ht="53.25" customHeight="1" thickBot="1" x14ac:dyDescent="0.2">
      <c r="A18" s="68"/>
      <c r="B18" s="87" t="s">
        <v>92</v>
      </c>
      <c r="C18" s="88" t="s">
        <v>111</v>
      </c>
      <c r="D18" s="113"/>
      <c r="E18" s="114"/>
      <c r="F18" s="114"/>
      <c r="G18" s="114"/>
      <c r="H18" s="114"/>
      <c r="I18" s="114"/>
      <c r="J18" s="115"/>
    </row>
    <row r="19" spans="1:10" s="72" customFormat="1" ht="53.25" customHeight="1" x14ac:dyDescent="0.15">
      <c r="A19" s="68"/>
      <c r="B19" s="89" t="s">
        <v>90</v>
      </c>
      <c r="C19" s="90" t="s">
        <v>93</v>
      </c>
      <c r="D19" s="107"/>
      <c r="E19" s="108"/>
      <c r="F19" s="108"/>
      <c r="G19" s="108"/>
      <c r="H19" s="108"/>
      <c r="I19" s="108"/>
      <c r="J19" s="109"/>
    </row>
    <row r="20" spans="1:10" s="72" customFormat="1" ht="53.25" customHeight="1" thickBot="1" x14ac:dyDescent="0.2">
      <c r="A20" s="68"/>
      <c r="B20" s="91" t="s">
        <v>29</v>
      </c>
      <c r="C20" s="92" t="s">
        <v>93</v>
      </c>
      <c r="D20" s="116"/>
      <c r="E20" s="117"/>
      <c r="F20" s="117"/>
      <c r="G20" s="117"/>
      <c r="H20" s="117"/>
      <c r="I20" s="117"/>
      <c r="J20" s="118"/>
    </row>
    <row r="21" spans="1:10" s="72" customFormat="1" ht="53.25" hidden="1" customHeight="1" thickBot="1" x14ac:dyDescent="0.2">
      <c r="A21" s="68"/>
      <c r="B21" s="91" t="s">
        <v>31</v>
      </c>
      <c r="C21" s="92"/>
      <c r="D21" s="116"/>
      <c r="E21" s="117"/>
      <c r="F21" s="117"/>
      <c r="G21" s="117"/>
      <c r="H21" s="117"/>
      <c r="I21" s="117"/>
      <c r="J21" s="118"/>
    </row>
    <row r="22" spans="1:10" s="72" customFormat="1" ht="53.25" hidden="1" customHeight="1" thickBot="1" x14ac:dyDescent="0.2">
      <c r="A22" s="68"/>
      <c r="B22" s="106" t="s">
        <v>26</v>
      </c>
      <c r="C22" s="82" t="s">
        <v>107</v>
      </c>
      <c r="D22" s="119"/>
      <c r="E22" s="120"/>
      <c r="F22" s="120"/>
      <c r="G22" s="120"/>
      <c r="H22" s="120"/>
      <c r="I22" s="120"/>
      <c r="J22" s="121"/>
    </row>
    <row r="23" spans="1:10" s="72" customFormat="1" ht="53.25" customHeight="1" thickBot="1" x14ac:dyDescent="0.2">
      <c r="A23" s="68"/>
      <c r="B23" s="93" t="s">
        <v>58</v>
      </c>
      <c r="C23" s="82" t="s">
        <v>99</v>
      </c>
      <c r="D23" s="104" t="s">
        <v>61</v>
      </c>
      <c r="E23" s="104" t="s">
        <v>61</v>
      </c>
      <c r="F23" s="104" t="s">
        <v>61</v>
      </c>
      <c r="G23" s="104" t="s">
        <v>61</v>
      </c>
      <c r="H23" s="104" t="s">
        <v>61</v>
      </c>
      <c r="I23" s="104" t="s">
        <v>61</v>
      </c>
      <c r="J23" s="105" t="s">
        <v>61</v>
      </c>
    </row>
    <row r="24" spans="1:10" ht="13.5" customHeight="1" thickBot="1" x14ac:dyDescent="0.2"/>
    <row r="25" spans="1:10" s="72" customFormat="1" ht="37.5" customHeight="1" thickBot="1" x14ac:dyDescent="0.2">
      <c r="A25" s="68"/>
      <c r="B25" s="98" t="s">
        <v>103</v>
      </c>
      <c r="C25" s="99">
        <f>IF(ISERROR(VALUE(C29)),"年齢未入力",SUM(C29:C32))</f>
        <v>0</v>
      </c>
      <c r="D25" s="74" t="s">
        <v>96</v>
      </c>
      <c r="E25" s="94" t="s">
        <v>59</v>
      </c>
      <c r="F25" s="95">
        <f>ROUNDUP(C25/12,-2)</f>
        <v>0</v>
      </c>
    </row>
    <row r="26" spans="1:10" x14ac:dyDescent="0.15">
      <c r="E26" s="100" t="s">
        <v>97</v>
      </c>
    </row>
    <row r="27" spans="1:10" x14ac:dyDescent="0.15">
      <c r="E27" s="100" t="s">
        <v>98</v>
      </c>
    </row>
    <row r="28" spans="1:10" ht="13.5" customHeight="1" thickBot="1" x14ac:dyDescent="0.2">
      <c r="B28" s="68" t="s">
        <v>95</v>
      </c>
    </row>
    <row r="29" spans="1:10" s="72" customFormat="1" ht="19.5" customHeight="1" x14ac:dyDescent="0.15">
      <c r="A29" s="68"/>
      <c r="B29" s="75" t="s">
        <v>100</v>
      </c>
      <c r="C29" s="76">
        <f>計算書!G49</f>
        <v>0</v>
      </c>
    </row>
    <row r="30" spans="1:10" s="72" customFormat="1" ht="19.5" customHeight="1" x14ac:dyDescent="0.15">
      <c r="A30" s="68"/>
      <c r="B30" s="77" t="s">
        <v>101</v>
      </c>
      <c r="C30" s="78">
        <f>計算書!G50</f>
        <v>0</v>
      </c>
    </row>
    <row r="31" spans="1:10" s="72" customFormat="1" ht="19.5" customHeight="1" x14ac:dyDescent="0.15">
      <c r="A31" s="68"/>
      <c r="B31" s="77" t="s">
        <v>102</v>
      </c>
      <c r="C31" s="78">
        <f>計算書!G51</f>
        <v>0</v>
      </c>
    </row>
    <row r="32" spans="1:10" ht="19.5" customHeight="1" thickBot="1" x14ac:dyDescent="0.2">
      <c r="B32" s="124" t="s">
        <v>113</v>
      </c>
      <c r="C32" s="125">
        <f>計算書!D52</f>
        <v>0</v>
      </c>
    </row>
  </sheetData>
  <phoneticPr fontId="2"/>
  <dataValidations count="3">
    <dataValidation type="list" allowBlank="1" showInputMessage="1" showErrorMessage="1" sqref="D23:J23">
      <formula1>"あり,なし"</formula1>
    </dataValidation>
    <dataValidation type="whole" imeMode="off" operator="greaterThanOrEqual" allowBlank="1" showInputMessage="1" showErrorMessage="1" sqref="D22:J22 D15:J18">
      <formula1>0</formula1>
    </dataValidation>
    <dataValidation type="whole" imeMode="off" operator="greaterThanOrEqual" allowBlank="1" showInputMessage="1" showErrorMessage="1" sqref="D19:J20">
      <formula1>-1E+34</formula1>
    </dataValidation>
  </dataValidations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C1:J71"/>
  <sheetViews>
    <sheetView topLeftCell="A4" zoomScaleNormal="100" workbookViewId="0">
      <selection activeCell="E9" sqref="E9"/>
    </sheetView>
  </sheetViews>
  <sheetFormatPr defaultRowHeight="13.5" x14ac:dyDescent="0.15"/>
  <cols>
    <col min="1" max="1" width="1.75" customWidth="1"/>
    <col min="2" max="2" width="3.375" customWidth="1"/>
    <col min="3" max="3" width="16.875" style="2" customWidth="1"/>
    <col min="4" max="4" width="10.25" bestFit="1" customWidth="1"/>
    <col min="5" max="10" width="10.375" customWidth="1"/>
    <col min="11" max="11" width="3.5" bestFit="1" customWidth="1"/>
  </cols>
  <sheetData>
    <row r="1" spans="3:10" x14ac:dyDescent="0.15">
      <c r="D1" s="26"/>
      <c r="E1" s="26"/>
      <c r="F1" s="2"/>
      <c r="H1" s="27"/>
    </row>
    <row r="2" spans="3:10" x14ac:dyDescent="0.15"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</row>
    <row r="3" spans="3:10" x14ac:dyDescent="0.15">
      <c r="C3" s="60" t="s">
        <v>73</v>
      </c>
      <c r="D3" s="61" t="str">
        <f>IF(入力表!D15&lt;&gt;"",入力表!D15,"")</f>
        <v/>
      </c>
      <c r="E3" s="61" t="str">
        <f>IF(入力表!E15&lt;&gt;"",入力表!E15,"")</f>
        <v/>
      </c>
      <c r="F3" s="61" t="str">
        <f>IF(入力表!F15&lt;&gt;"",入力表!F15,"")</f>
        <v/>
      </c>
      <c r="G3" s="61" t="str">
        <f>IF(入力表!G15&lt;&gt;"",入力表!G15,"")</f>
        <v/>
      </c>
      <c r="H3" s="61" t="str">
        <f>IF(入力表!H15&lt;&gt;"",入力表!H15,"")</f>
        <v/>
      </c>
      <c r="I3" s="61" t="str">
        <f>IF(入力表!I15&lt;&gt;"",入力表!I15,"")</f>
        <v/>
      </c>
      <c r="J3" s="61" t="str">
        <f>IF(入力表!J15&lt;&gt;"",入力表!J15,"")</f>
        <v/>
      </c>
    </row>
    <row r="4" spans="3:10" x14ac:dyDescent="0.15">
      <c r="C4" s="60" t="s">
        <v>74</v>
      </c>
      <c r="D4" s="62" t="str">
        <f>IF(D3&gt;=40,IF(D3&lt;65,"２号","１号"),"×")</f>
        <v>１号</v>
      </c>
      <c r="E4" s="62" t="str">
        <f t="shared" ref="E4:J4" si="0">IF(E3&gt;=40,IF(E3&lt;65,"２号","１号"),"×")</f>
        <v>１号</v>
      </c>
      <c r="F4" s="62" t="str">
        <f t="shared" si="0"/>
        <v>１号</v>
      </c>
      <c r="G4" s="62" t="str">
        <f t="shared" si="0"/>
        <v>１号</v>
      </c>
      <c r="H4" s="62" t="str">
        <f t="shared" si="0"/>
        <v>１号</v>
      </c>
      <c r="I4" s="62" t="str">
        <f t="shared" si="0"/>
        <v>１号</v>
      </c>
      <c r="J4" s="62" t="str">
        <f t="shared" si="0"/>
        <v>１号</v>
      </c>
    </row>
    <row r="5" spans="3:10" x14ac:dyDescent="0.15">
      <c r="C5" s="60" t="s">
        <v>85</v>
      </c>
      <c r="D5" s="61" t="str">
        <f>IF(AND(D3="",SUM(入力表!D16:D22)&gt;0),eror,"")</f>
        <v/>
      </c>
      <c r="E5" s="61" t="str">
        <f>IF(AND(E3="",SUM(入力表!E16:E22)&gt;0),eror,"")</f>
        <v/>
      </c>
      <c r="F5" s="61" t="str">
        <f>IF(AND(F3="",SUM(入力表!F16:F22)&gt;0),eror,"")</f>
        <v/>
      </c>
      <c r="G5" s="61" t="str">
        <f>IF(AND(G3="",SUM(入力表!G16:G22)&gt;0),eror,"")</f>
        <v/>
      </c>
      <c r="H5" s="61" t="str">
        <f>IF(AND(H3="",SUM(入力表!H16:H22)&gt;0),eror,"")</f>
        <v/>
      </c>
      <c r="I5" s="61" t="str">
        <f>IF(AND(I3="",SUM(入力表!I16:I22)&gt;0),eror,"")</f>
        <v/>
      </c>
      <c r="J5" s="61" t="str">
        <f>IF(AND(J3="",SUM(入力表!J16:J22)&gt;0),eror,"")</f>
        <v/>
      </c>
    </row>
    <row r="7" spans="3:10" x14ac:dyDescent="0.15">
      <c r="C7" s="44" t="s">
        <v>72</v>
      </c>
    </row>
    <row r="8" spans="3:10" x14ac:dyDescent="0.15">
      <c r="C8" s="58" t="s">
        <v>75</v>
      </c>
      <c r="D8" s="59">
        <f>入力表!D16+入力表!D17</f>
        <v>0</v>
      </c>
      <c r="E8" s="59">
        <f>入力表!E16+入力表!E17</f>
        <v>0</v>
      </c>
      <c r="F8" s="59">
        <f>入力表!F16+入力表!F17</f>
        <v>0</v>
      </c>
      <c r="G8" s="59">
        <f>入力表!G16+入力表!G17</f>
        <v>0</v>
      </c>
      <c r="H8" s="59">
        <f>入力表!H16+入力表!H17</f>
        <v>0</v>
      </c>
      <c r="I8" s="59">
        <f>入力表!I16+入力表!I17</f>
        <v>0</v>
      </c>
      <c r="J8" s="59">
        <f>入力表!J16+入力表!J17</f>
        <v>0</v>
      </c>
    </row>
    <row r="9" spans="3:10" ht="13.5" customHeight="1" x14ac:dyDescent="0.15">
      <c r="C9" s="58" t="s">
        <v>0</v>
      </c>
      <c r="D9" s="59">
        <f>VLOOKUP(D8,所得算出!$B$3:$L$13,5,TRUE)</f>
        <v>0</v>
      </c>
      <c r="E9" s="59">
        <f>VLOOKUP(E8,所得算出!$B$3:$L$13,6,TRUE)</f>
        <v>0</v>
      </c>
      <c r="F9" s="59">
        <f>VLOOKUP(F8,所得算出!$B$3:$L$13,7,TRUE)</f>
        <v>0</v>
      </c>
      <c r="G9" s="59">
        <f>VLOOKUP(G8,所得算出!$B$3:$L$13,8,TRUE)</f>
        <v>0</v>
      </c>
      <c r="H9" s="59">
        <f>VLOOKUP(H8,所得算出!$B$3:$L$13,9,TRUE)</f>
        <v>0</v>
      </c>
      <c r="I9" s="59">
        <f>VLOOKUP(I8,所得算出!$B$3:$L$13,10,TRUE)</f>
        <v>0</v>
      </c>
      <c r="J9" s="59">
        <f>VLOOKUP(J8,所得算出!$B$3:$L$13,11,TRUE)</f>
        <v>0</v>
      </c>
    </row>
    <row r="10" spans="3:10" x14ac:dyDescent="0.15">
      <c r="C10" s="58" t="s">
        <v>80</v>
      </c>
      <c r="D10" s="59">
        <f>IF(MIN(100000,D9)+MIN(100000,D14)-100000&lt;0,0,MIN(100000,D9)+MIN(100000,D14)-100000)</f>
        <v>0</v>
      </c>
      <c r="E10" s="59">
        <f t="shared" ref="E10:J10" si="1">IF(MIN(100000,E9)+MIN(100000,E14)-100000&lt;0,0,MIN(100000,E9)+MIN(100000,E14)-100000)</f>
        <v>0</v>
      </c>
      <c r="F10" s="59">
        <f t="shared" si="1"/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</row>
    <row r="11" spans="3:10" x14ac:dyDescent="0.15">
      <c r="C11" s="46" t="s">
        <v>83</v>
      </c>
      <c r="D11" s="59">
        <f>IF(入力表!D23="あり",(D9-D10)*0.3,(D9-D10))</f>
        <v>0</v>
      </c>
      <c r="E11" s="59">
        <f>IF(入力表!E23="あり",(E9-E10)*0.3,(E9-E10))</f>
        <v>0</v>
      </c>
      <c r="F11" s="59">
        <f>IF(入力表!F23="あり",(F9-F10)*0.3,(F9-F10))</f>
        <v>0</v>
      </c>
      <c r="G11" s="59">
        <f>IF(入力表!G23="あり",(G9-G10)*0.3,(G9-G10))</f>
        <v>0</v>
      </c>
      <c r="H11" s="59">
        <f>IF(入力表!H23="あり",(H9-H10)*0.3,(H9-H10))</f>
        <v>0</v>
      </c>
      <c r="I11" s="59">
        <f>IF(入力表!I23="あり",(I9-I10)*0.3,(I9-I10))</f>
        <v>0</v>
      </c>
      <c r="J11" s="59">
        <f>IF(入力表!J23="あり",(J9-J10)*0.3,(J9-J10))</f>
        <v>0</v>
      </c>
    </row>
    <row r="12" spans="3:10" ht="13.5" customHeight="1" x14ac:dyDescent="0.15">
      <c r="C12" s="56" t="s">
        <v>76</v>
      </c>
      <c r="D12" s="57">
        <f>入力表!D18</f>
        <v>0</v>
      </c>
      <c r="E12" s="57">
        <f>入力表!E18</f>
        <v>0</v>
      </c>
      <c r="F12" s="57">
        <f>入力表!F18</f>
        <v>0</v>
      </c>
      <c r="G12" s="57">
        <f>入力表!G18</f>
        <v>0</v>
      </c>
      <c r="H12" s="57">
        <f>入力表!H18</f>
        <v>0</v>
      </c>
      <c r="I12" s="57">
        <f>入力表!I18</f>
        <v>0</v>
      </c>
      <c r="J12" s="57">
        <f>入力表!J18</f>
        <v>0</v>
      </c>
    </row>
    <row r="13" spans="3:10" ht="13.5" customHeight="1" x14ac:dyDescent="0.15">
      <c r="C13" s="67" t="s">
        <v>82</v>
      </c>
      <c r="D13" s="57">
        <f>IF((D9+D15)&gt;=10000000,IF((D9+D15)&gt;=20000000,-200000,-100000),0)</f>
        <v>0</v>
      </c>
      <c r="E13" s="57">
        <f t="shared" ref="E13:J13" si="2">IF((E9+E15)&gt;=10000000,IF((E9+E15)&gt;=20000000,-200000,-100000),0)</f>
        <v>0</v>
      </c>
      <c r="F13" s="57">
        <f t="shared" si="2"/>
        <v>0</v>
      </c>
      <c r="G13" s="57">
        <f t="shared" si="2"/>
        <v>0</v>
      </c>
      <c r="H13" s="57">
        <f t="shared" si="2"/>
        <v>0</v>
      </c>
      <c r="I13" s="57">
        <f t="shared" si="2"/>
        <v>0</v>
      </c>
      <c r="J13" s="57">
        <f t="shared" si="2"/>
        <v>0</v>
      </c>
    </row>
    <row r="14" spans="3:10" x14ac:dyDescent="0.15">
      <c r="C14" s="47" t="s">
        <v>6</v>
      </c>
      <c r="D14" s="57">
        <f>IF(D3&gt;=65,VLOOKUP(D12,N_高齢年金算出,5,TRUE),VLOOKUP(D12,N_年金所得算出,5,TRUE))</f>
        <v>0</v>
      </c>
      <c r="E14" s="57">
        <f>IF(E3&gt;=65,VLOOKUP(E12,N_高齢年金算出,6,TRUE),VLOOKUP(E12,N_年金所得算出,6,TRUE))</f>
        <v>0</v>
      </c>
      <c r="F14" s="57">
        <f>IF(F3&gt;=65,VLOOKUP(F12,N_高齢年金算出,7,TRUE),VLOOKUP(F12,N_年金所得算出,7,TRUE))</f>
        <v>0</v>
      </c>
      <c r="G14" s="57">
        <f>IF(G3&gt;=65,VLOOKUP(G12,N_高齢年金算出,8,TRUE),VLOOKUP(G12,N_年金所得算出,8,TRUE))</f>
        <v>0</v>
      </c>
      <c r="H14" s="57">
        <f>IF(H3&gt;=65,VLOOKUP(H12,N_高齢年金算出,9,TRUE),VLOOKUP(H12,N_年金所得算出,9,TRUE))</f>
        <v>0</v>
      </c>
      <c r="I14" s="57">
        <f>IF(I3&gt;=65,VLOOKUP(I12,N_高齢年金算出,10,TRUE),VLOOKUP(I12,N_年金所得算出,10,TRUE))</f>
        <v>0</v>
      </c>
      <c r="J14" s="57">
        <f>IF(J3&gt;=65,VLOOKUP(J12,N_高齢年金算出,11,TRUE),VLOOKUP(J12,N_年金所得算出,11,TRUE))</f>
        <v>0</v>
      </c>
    </row>
    <row r="15" spans="3:10" x14ac:dyDescent="0.15">
      <c r="C15" s="48" t="s">
        <v>81</v>
      </c>
      <c r="D15" s="55">
        <f>入力表!D19+入力表!D20</f>
        <v>0</v>
      </c>
      <c r="E15" s="55">
        <f>入力表!E19+入力表!E20</f>
        <v>0</v>
      </c>
      <c r="F15" s="55">
        <f>入力表!F19+入力表!F20</f>
        <v>0</v>
      </c>
      <c r="G15" s="55">
        <f>入力表!G19+入力表!G20</f>
        <v>0</v>
      </c>
      <c r="H15" s="55">
        <f>入力表!H19+入力表!H20</f>
        <v>0</v>
      </c>
      <c r="I15" s="55">
        <f>入力表!I19+入力表!I20</f>
        <v>0</v>
      </c>
      <c r="J15" s="55">
        <f>入力表!J19+入力表!J20</f>
        <v>0</v>
      </c>
    </row>
    <row r="16" spans="3:10" x14ac:dyDescent="0.15">
      <c r="C16" s="63" t="s">
        <v>31</v>
      </c>
      <c r="D16" s="52">
        <f>入力表!D21</f>
        <v>0</v>
      </c>
      <c r="E16" s="52">
        <f>入力表!E21</f>
        <v>0</v>
      </c>
      <c r="F16" s="52">
        <f>入力表!F21</f>
        <v>0</v>
      </c>
      <c r="G16" s="52">
        <f>入力表!G21</f>
        <v>0</v>
      </c>
      <c r="H16" s="52">
        <f>入力表!H21</f>
        <v>0</v>
      </c>
      <c r="I16" s="52">
        <f>入力表!I21</f>
        <v>0</v>
      </c>
      <c r="J16" s="52">
        <f>入力表!J21</f>
        <v>0</v>
      </c>
    </row>
    <row r="17" spans="3:10" x14ac:dyDescent="0.15">
      <c r="C17" s="51" t="s">
        <v>77</v>
      </c>
      <c r="D17" s="50">
        <f>MAX(D11+D14+D15,0)+MAX(D16,0)</f>
        <v>0</v>
      </c>
      <c r="E17" s="50">
        <f t="shared" ref="E17:J17" si="3">MAX(E11+E14+E15,0)+MAX(E16,0)</f>
        <v>0</v>
      </c>
      <c r="F17" s="50">
        <f t="shared" si="3"/>
        <v>0</v>
      </c>
      <c r="G17" s="50">
        <f t="shared" si="3"/>
        <v>0</v>
      </c>
      <c r="H17" s="50">
        <f t="shared" si="3"/>
        <v>0</v>
      </c>
      <c r="I17" s="50">
        <f t="shared" si="3"/>
        <v>0</v>
      </c>
      <c r="J17" s="50">
        <f t="shared" si="3"/>
        <v>0</v>
      </c>
    </row>
    <row r="18" spans="3:10" x14ac:dyDescent="0.15">
      <c r="C18" s="51" t="s">
        <v>8</v>
      </c>
      <c r="D18" s="50">
        <f>IF(D17&lt;=24000000,430000,IF(D17&lt;=24500000,290000,IF(D17&lt;=25000000,150000,0)))</f>
        <v>430000</v>
      </c>
      <c r="E18" s="50">
        <f t="shared" ref="E18:J18" si="4">IF(E17&lt;=24000000,430000,IF(E17&lt;=24500000,290000,IF(E17&lt;=25000000,150000,0)))</f>
        <v>430000</v>
      </c>
      <c r="F18" s="50">
        <f t="shared" si="4"/>
        <v>430000</v>
      </c>
      <c r="G18" s="50">
        <f t="shared" si="4"/>
        <v>430000</v>
      </c>
      <c r="H18" s="50">
        <f t="shared" si="4"/>
        <v>430000</v>
      </c>
      <c r="I18" s="50">
        <f t="shared" si="4"/>
        <v>430000</v>
      </c>
      <c r="J18" s="50">
        <f t="shared" si="4"/>
        <v>430000</v>
      </c>
    </row>
    <row r="19" spans="3:10" x14ac:dyDescent="0.15">
      <c r="C19" s="64" t="s">
        <v>7</v>
      </c>
      <c r="D19" s="50">
        <f>MAX(D17-D18,0)</f>
        <v>0</v>
      </c>
      <c r="E19" s="50">
        <f t="shared" ref="E19:J19" si="5">MAX(E17-E18,0)</f>
        <v>0</v>
      </c>
      <c r="F19" s="50">
        <f t="shared" si="5"/>
        <v>0</v>
      </c>
      <c r="G19" s="50">
        <f t="shared" si="5"/>
        <v>0</v>
      </c>
      <c r="H19" s="50">
        <f t="shared" si="5"/>
        <v>0</v>
      </c>
      <c r="I19" s="50">
        <f t="shared" si="5"/>
        <v>0</v>
      </c>
      <c r="J19" s="50">
        <f t="shared" si="5"/>
        <v>0</v>
      </c>
    </row>
    <row r="20" spans="3:10" x14ac:dyDescent="0.15">
      <c r="C20" s="45" t="s">
        <v>18</v>
      </c>
      <c r="D20" s="8">
        <f>ROUNDDOWN((D19*条例数値!$D$5),2)</f>
        <v>0</v>
      </c>
      <c r="E20" s="8">
        <f>ROUNDDOWN((E19*条例数値!$D$5),2)</f>
        <v>0</v>
      </c>
      <c r="F20" s="8">
        <f>ROUNDDOWN((F19*条例数値!$D$5),2)</f>
        <v>0</v>
      </c>
      <c r="G20" s="8">
        <f>ROUNDDOWN((G19*条例数値!$D$5),2)</f>
        <v>0</v>
      </c>
      <c r="H20" s="8">
        <f>ROUNDDOWN((H19*条例数値!$D$5),2)</f>
        <v>0</v>
      </c>
      <c r="I20" s="8">
        <f>ROUNDDOWN((I19*条例数値!$D$5),2)</f>
        <v>0</v>
      </c>
      <c r="J20" s="8">
        <f>ROUNDDOWN((J19*条例数値!$D$5),2)</f>
        <v>0</v>
      </c>
    </row>
    <row r="21" spans="3:10" x14ac:dyDescent="0.15">
      <c r="C21" s="45" t="s">
        <v>57</v>
      </c>
      <c r="D21" s="8">
        <f>ROUNDDOWN((D19*条例数値!$D$10),2)</f>
        <v>0</v>
      </c>
      <c r="E21" s="8">
        <f>ROUNDDOWN((E19*条例数値!$D$10),2)</f>
        <v>0</v>
      </c>
      <c r="F21" s="8">
        <f>ROUNDDOWN((F19*条例数値!$D$10),2)</f>
        <v>0</v>
      </c>
      <c r="G21" s="8">
        <f>ROUNDDOWN((G19*条例数値!$D$10),2)</f>
        <v>0</v>
      </c>
      <c r="H21" s="8">
        <f>ROUNDDOWN((H19*条例数値!$D$10),2)</f>
        <v>0</v>
      </c>
      <c r="I21" s="8">
        <f>ROUNDDOWN((I19*条例数値!$D$10),2)</f>
        <v>0</v>
      </c>
      <c r="J21" s="8">
        <f>ROUNDDOWN((J19*条例数値!$D$10),2)</f>
        <v>0</v>
      </c>
    </row>
    <row r="22" spans="3:10" x14ac:dyDescent="0.15">
      <c r="C22" s="45" t="s">
        <v>19</v>
      </c>
      <c r="D22" s="8">
        <f>IF(D3&gt;=40,IF(D3&lt;65,ROUNDDOWN(D19*条例数値!$D$15,0),0),0)</f>
        <v>0</v>
      </c>
      <c r="E22" s="8">
        <f>IF(E3&gt;=40,IF(E3&lt;65,ROUNDDOWN(E19*条例数値!$D$15,0),0),0)</f>
        <v>0</v>
      </c>
      <c r="F22" s="8">
        <f>IF(F3&gt;=40,IF(F3&lt;65,ROUNDDOWN(F19*条例数値!$D$15,0),0),0)</f>
        <v>0</v>
      </c>
      <c r="G22" s="8">
        <f>IF(G3&gt;=40,IF(G3&lt;65,ROUNDDOWN(G19*条例数値!$D$15,0),0),0)</f>
        <v>0</v>
      </c>
      <c r="H22" s="8">
        <f>IF(H3&gt;=40,IF(H3&lt;65,ROUNDDOWN(H19*条例数値!$D$15,0),0),0)</f>
        <v>0</v>
      </c>
      <c r="I22" s="8">
        <f>IF(I3&gt;=40,IF(I3&lt;65,ROUNDDOWN(I19*条例数値!$D$15,0),0),0)</f>
        <v>0</v>
      </c>
      <c r="J22" s="8">
        <f>IF(J3&gt;=40,IF(J3&lt;65,ROUNDDOWN(J19*条例数値!$D$15,0),0),0)</f>
        <v>0</v>
      </c>
    </row>
    <row r="23" spans="3:10" x14ac:dyDescent="0.15">
      <c r="C23" s="45" t="s">
        <v>116</v>
      </c>
      <c r="D23" s="8">
        <f>ROUNDDOWN((D19*条例数値!$D$20),2)</f>
        <v>0</v>
      </c>
      <c r="E23" s="8">
        <f>ROUNDDOWN((E19*条例数値!$D$20),2)</f>
        <v>0</v>
      </c>
      <c r="F23" s="8">
        <f>ROUNDDOWN((F19*条例数値!$D$20),2)</f>
        <v>0</v>
      </c>
      <c r="G23" s="8">
        <f>ROUNDDOWN((G19*条例数値!$D$20),2)</f>
        <v>0</v>
      </c>
      <c r="H23" s="8">
        <f>ROUNDDOWN((H19*条例数値!$D$20),2)</f>
        <v>0</v>
      </c>
      <c r="I23" s="8">
        <f>ROUNDDOWN((I19*条例数値!$D$20),2)</f>
        <v>0</v>
      </c>
      <c r="J23" s="8">
        <f>ROUNDDOWN((J19*条例数値!$D$20),2)</f>
        <v>0</v>
      </c>
    </row>
    <row r="25" spans="3:10" x14ac:dyDescent="0.15">
      <c r="C25" s="53" t="s">
        <v>84</v>
      </c>
    </row>
    <row r="26" spans="3:10" x14ac:dyDescent="0.15">
      <c r="C26" s="65" t="s">
        <v>71</v>
      </c>
      <c r="D26" s="49">
        <f>入力表!D22</f>
        <v>0</v>
      </c>
      <c r="E26" s="49">
        <f>入力表!E22</f>
        <v>0</v>
      </c>
      <c r="F26" s="49">
        <f>入力表!F22</f>
        <v>0</v>
      </c>
      <c r="G26" s="49">
        <f>入力表!G22</f>
        <v>0</v>
      </c>
      <c r="H26" s="49">
        <f>入力表!H22</f>
        <v>0</v>
      </c>
      <c r="I26" s="49">
        <f>入力表!I22</f>
        <v>0</v>
      </c>
      <c r="J26" s="49">
        <f>入力表!J22</f>
        <v>0</v>
      </c>
    </row>
    <row r="27" spans="3:10" x14ac:dyDescent="0.15">
      <c r="C27" s="45" t="s">
        <v>25</v>
      </c>
      <c r="D27" s="8">
        <f>ROUNDDOWN((D26*条例数値!$D$6),0)</f>
        <v>0</v>
      </c>
      <c r="E27" s="8">
        <f>ROUNDDOWN((E26*条例数値!$D$6),0)</f>
        <v>0</v>
      </c>
      <c r="F27" s="8">
        <f>ROUNDDOWN((F26*条例数値!$D$6),0)</f>
        <v>0</v>
      </c>
      <c r="G27" s="8">
        <f>ROUNDDOWN((G26*条例数値!$D$6),0)</f>
        <v>0</v>
      </c>
      <c r="H27" s="8">
        <f>ROUNDDOWN((H26*条例数値!$D$6),0)</f>
        <v>0</v>
      </c>
      <c r="I27" s="8">
        <f>ROUNDDOWN((I26*条例数値!$D$6),0)</f>
        <v>0</v>
      </c>
      <c r="J27" s="8">
        <f>ROUNDDOWN((J26*条例数値!$D$6),0)</f>
        <v>0</v>
      </c>
    </row>
    <row r="28" spans="3:10" x14ac:dyDescent="0.15">
      <c r="C28" s="45" t="s">
        <v>79</v>
      </c>
      <c r="D28" s="8">
        <f>ROUNDDOWN((D26*条例数値!$D$11),0)</f>
        <v>0</v>
      </c>
      <c r="E28" s="8">
        <f>ROUNDDOWN((E26*条例数値!$D$11),0)</f>
        <v>0</v>
      </c>
      <c r="F28" s="8">
        <f>ROUNDDOWN((F26*条例数値!$D$11),0)</f>
        <v>0</v>
      </c>
      <c r="G28" s="8">
        <f>ROUNDDOWN((G26*条例数値!$D$11),0)</f>
        <v>0</v>
      </c>
      <c r="H28" s="8">
        <f>ROUNDDOWN((H26*条例数値!$D$11),0)</f>
        <v>0</v>
      </c>
      <c r="I28" s="8">
        <f>ROUNDDOWN((I26*条例数値!$D$11),0)</f>
        <v>0</v>
      </c>
      <c r="J28" s="8">
        <f>ROUNDDOWN((J26*条例数値!$D$11),0)</f>
        <v>0</v>
      </c>
    </row>
    <row r="29" spans="3:10" x14ac:dyDescent="0.15">
      <c r="C29" s="45" t="s">
        <v>78</v>
      </c>
      <c r="D29" s="8">
        <f>IF(D3&gt;=40,IF(D3&lt;65,ROUNDDOWN(D26*条例数値!$D$16,0),0),0)</f>
        <v>0</v>
      </c>
      <c r="E29" s="8">
        <f>IF(E3&gt;=40,IF(E3&lt;65,ROUNDDOWN(E26*条例数値!$D$16,0),0),0)</f>
        <v>0</v>
      </c>
      <c r="F29" s="8">
        <f>IF(F3&gt;=40,IF(F3&lt;65,ROUNDDOWN(F26*条例数値!$D$16,0),0),0)</f>
        <v>0</v>
      </c>
      <c r="G29" s="8">
        <f>IF(G3&gt;=40,IF(G3&lt;65,ROUNDDOWN(G26*条例数値!$D$16,0),0),0)</f>
        <v>0</v>
      </c>
      <c r="H29" s="8">
        <f>IF(H3&gt;=40,IF(H3&lt;65,ROUNDDOWN(H26*条例数値!$D$16,0),0),0)</f>
        <v>0</v>
      </c>
      <c r="I29" s="8">
        <f>IF(I3&gt;=40,IF(I3&lt;65,ROUNDDOWN(I26*条例数値!$D$16,0),0),0)</f>
        <v>0</v>
      </c>
      <c r="J29" s="8">
        <f>IF(J3&gt;=40,IF(J3&lt;65,ROUNDDOWN(J26*条例数値!$D$16,0),0),0)</f>
        <v>0</v>
      </c>
    </row>
    <row r="31" spans="3:10" x14ac:dyDescent="0.15">
      <c r="C31" s="54" t="s">
        <v>20</v>
      </c>
    </row>
    <row r="32" spans="3:10" x14ac:dyDescent="0.15">
      <c r="C32" s="18" t="s">
        <v>70</v>
      </c>
      <c r="D32" s="12">
        <f>COUNTIF(D$3:J$3,"&gt;=0")</f>
        <v>0</v>
      </c>
      <c r="E32" s="15" t="s">
        <v>21</v>
      </c>
    </row>
    <row r="33" spans="3:5" x14ac:dyDescent="0.15">
      <c r="C33" s="19"/>
      <c r="D33" s="13">
        <f>D32*条例数値!D3</f>
        <v>0</v>
      </c>
      <c r="E33" s="15" t="s">
        <v>17</v>
      </c>
    </row>
    <row r="34" spans="3:5" x14ac:dyDescent="0.15">
      <c r="C34" s="18" t="s">
        <v>69</v>
      </c>
      <c r="D34" s="12">
        <f>D32</f>
        <v>0</v>
      </c>
      <c r="E34" s="15" t="s">
        <v>21</v>
      </c>
    </row>
    <row r="35" spans="3:5" x14ac:dyDescent="0.15">
      <c r="C35" s="19"/>
      <c r="D35" s="13">
        <f>D34*条例数値!D8</f>
        <v>0</v>
      </c>
      <c r="E35" s="15" t="s">
        <v>17</v>
      </c>
    </row>
    <row r="36" spans="3:5" x14ac:dyDescent="0.15">
      <c r="C36" s="18" t="s">
        <v>68</v>
      </c>
      <c r="D36" s="12">
        <f>COUNTIF(D$4:J$4,"２号")</f>
        <v>0</v>
      </c>
      <c r="E36" s="15" t="s">
        <v>21</v>
      </c>
    </row>
    <row r="37" spans="3:5" x14ac:dyDescent="0.15">
      <c r="C37" s="19"/>
      <c r="D37" s="13">
        <f>D36*条例数値!D13</f>
        <v>0</v>
      </c>
      <c r="E37" s="15" t="s">
        <v>17</v>
      </c>
    </row>
    <row r="38" spans="3:5" x14ac:dyDescent="0.15">
      <c r="C38" s="126" t="s">
        <v>114</v>
      </c>
      <c r="D38" s="13">
        <f>COUNTIF(D$3:J$3,"&gt;=19")</f>
        <v>0</v>
      </c>
      <c r="E38" s="15" t="s">
        <v>21</v>
      </c>
    </row>
    <row r="39" spans="3:5" x14ac:dyDescent="0.15">
      <c r="C39" s="127"/>
      <c r="D39" s="13">
        <f>条例数値!D18*D38</f>
        <v>0</v>
      </c>
      <c r="E39" s="15" t="s">
        <v>17</v>
      </c>
    </row>
    <row r="40" spans="3:5" x14ac:dyDescent="0.15">
      <c r="C40" s="7" t="s">
        <v>24</v>
      </c>
      <c r="D40" s="14">
        <f>D33+D35+D37+D39</f>
        <v>0</v>
      </c>
      <c r="E40" s="15" t="s">
        <v>17</v>
      </c>
    </row>
    <row r="42" spans="3:5" x14ac:dyDescent="0.15">
      <c r="C42" s="43" t="s">
        <v>23</v>
      </c>
      <c r="D42" s="9"/>
      <c r="E42" s="9"/>
    </row>
    <row r="43" spans="3:5" x14ac:dyDescent="0.15">
      <c r="C43" s="7" t="s">
        <v>70</v>
      </c>
      <c r="D43" s="14">
        <f>IF(D32&gt;=1,条例数値!D4,0)</f>
        <v>0</v>
      </c>
      <c r="E43" s="15" t="s">
        <v>17</v>
      </c>
    </row>
    <row r="44" spans="3:5" x14ac:dyDescent="0.15">
      <c r="C44" s="7" t="s">
        <v>69</v>
      </c>
      <c r="D44" s="14">
        <f>IF(D34&gt;=1,条例数値!D9,0)</f>
        <v>0</v>
      </c>
      <c r="E44" s="15" t="s">
        <v>17</v>
      </c>
    </row>
    <row r="45" spans="3:5" x14ac:dyDescent="0.15">
      <c r="C45" s="7" t="s">
        <v>68</v>
      </c>
      <c r="D45" s="14">
        <f>IF(D36&gt;=1,条例数値!D14,0)</f>
        <v>0</v>
      </c>
      <c r="E45" s="15" t="s">
        <v>17</v>
      </c>
    </row>
    <row r="46" spans="3:5" x14ac:dyDescent="0.15">
      <c r="C46" s="7" t="s">
        <v>115</v>
      </c>
      <c r="D46" s="14">
        <f>IF(D38&gt;=1,条例数値!D19,0)</f>
        <v>0</v>
      </c>
      <c r="E46" s="15" t="s">
        <v>17</v>
      </c>
    </row>
    <row r="47" spans="3:5" x14ac:dyDescent="0.15">
      <c r="C47" s="7" t="s">
        <v>24</v>
      </c>
      <c r="D47" s="14">
        <f>SUM(D43:D46)</f>
        <v>0</v>
      </c>
      <c r="E47" s="15" t="s">
        <v>17</v>
      </c>
    </row>
    <row r="48" spans="3:5" ht="14.25" thickBot="1" x14ac:dyDescent="0.2"/>
    <row r="49" spans="3:8" ht="14.25" thickTop="1" x14ac:dyDescent="0.15">
      <c r="C49" s="20" t="s">
        <v>70</v>
      </c>
      <c r="D49" s="10">
        <f>MIN(条例数値!D7,ROUNDDOWN(SUM(D20:J20)+SUM(D27:J27)+D33+D43,-2))</f>
        <v>0</v>
      </c>
      <c r="E49" s="11" t="s">
        <v>17</v>
      </c>
      <c r="G49" s="66">
        <f>IF(ISERROR(SUM(D5:J5)),"1/1年齢未入力",D49)</f>
        <v>0</v>
      </c>
      <c r="H49" s="21" t="s">
        <v>41</v>
      </c>
    </row>
    <row r="50" spans="3:8" x14ac:dyDescent="0.15">
      <c r="C50" s="20" t="s">
        <v>69</v>
      </c>
      <c r="D50" s="10">
        <f>MIN(条例数値!D12,ROUNDDOWN(SUM(D21:J21)+SUM(D28:J28)+D35+D44,-2))</f>
        <v>0</v>
      </c>
      <c r="E50" s="11" t="s">
        <v>17</v>
      </c>
      <c r="G50" s="25">
        <f>IF(ISERROR(SUM(D5:J5)),"1/1年齢未入力",D50)</f>
        <v>0</v>
      </c>
      <c r="H50" s="22" t="s">
        <v>53</v>
      </c>
    </row>
    <row r="51" spans="3:8" x14ac:dyDescent="0.15">
      <c r="C51" s="20" t="s">
        <v>68</v>
      </c>
      <c r="D51" s="10">
        <f>MIN(条例数値!D17,ROUNDDOWN(SUM(D22:J22)+SUM(D29:J29)+D37+D45,-2))</f>
        <v>0</v>
      </c>
      <c r="E51" s="11" t="s">
        <v>17</v>
      </c>
      <c r="G51" s="25">
        <f>IF(ISERROR(SUM(D5:J5)),"1/1年齢未入力",D51)</f>
        <v>0</v>
      </c>
      <c r="H51" s="22" t="s">
        <v>48</v>
      </c>
    </row>
    <row r="52" spans="3:8" x14ac:dyDescent="0.15">
      <c r="C52" s="20" t="s">
        <v>124</v>
      </c>
      <c r="D52" s="10">
        <f>MIN(条例数値!D22,ROUNDDOWN(SUM(D23:J23)+SUM(D30:J30)+D39+D46,-2))</f>
        <v>0</v>
      </c>
      <c r="E52" s="11" t="s">
        <v>17</v>
      </c>
      <c r="G52" s="25">
        <f>IF(ISERROR(SUM(D6:J6)),"1/1年齢未入力",D52)</f>
        <v>0</v>
      </c>
      <c r="H52" s="123" t="s">
        <v>118</v>
      </c>
    </row>
    <row r="53" spans="3:8" x14ac:dyDescent="0.15">
      <c r="C53" s="20" t="s">
        <v>22</v>
      </c>
      <c r="D53" s="10">
        <f>SUM(D49:D52)</f>
        <v>0</v>
      </c>
      <c r="E53" s="11" t="s">
        <v>17</v>
      </c>
      <c r="G53" s="25">
        <f>IF(ISERROR(SUM(D5:J5)),"1/1年齢未入力",D55)</f>
        <v>0</v>
      </c>
      <c r="H53" s="22" t="s">
        <v>42</v>
      </c>
    </row>
    <row r="54" spans="3:8" x14ac:dyDescent="0.15">
      <c r="G54" s="25">
        <f>IF(ISERROR(SUM(D5:J5)),"1/1年齢未入力",D56)</f>
        <v>0</v>
      </c>
      <c r="H54" s="28" t="s">
        <v>54</v>
      </c>
    </row>
    <row r="55" spans="3:8" x14ac:dyDescent="0.15">
      <c r="C55" s="20" t="s">
        <v>34</v>
      </c>
      <c r="D55" s="10">
        <f>MIN(条例数値!D7,ROUNDDOWN(SUM(D20:J20)+SUM(D27:J27)+(D33+D43)*0.3,-2))</f>
        <v>0</v>
      </c>
      <c r="E55" s="11" t="s">
        <v>17</v>
      </c>
      <c r="G55" s="25">
        <f>IF(ISERROR(SUM(D5:J5)),"1/1年齢未入力",D57)</f>
        <v>0</v>
      </c>
      <c r="H55" s="22" t="s">
        <v>43</v>
      </c>
    </row>
    <row r="56" spans="3:8" x14ac:dyDescent="0.15">
      <c r="C56" s="20" t="s">
        <v>49</v>
      </c>
      <c r="D56" s="10">
        <f>MIN(条例数値!D12,ROUNDDOWN(SUM(D21:J21)+SUM(D28:J28)+(D35+D44)*0.3,-2))</f>
        <v>0</v>
      </c>
      <c r="E56" s="11" t="s">
        <v>17</v>
      </c>
      <c r="G56" s="25">
        <f>IF(ISERROR(SUM(D6:J6)),"1/1年齢未入力",D58)</f>
        <v>0</v>
      </c>
      <c r="H56" s="123" t="s">
        <v>119</v>
      </c>
    </row>
    <row r="57" spans="3:8" x14ac:dyDescent="0.15">
      <c r="C57" s="20" t="s">
        <v>35</v>
      </c>
      <c r="D57" s="10">
        <f>MIN(条例数値!D17,ROUNDDOWN(SUM(D22:J22)+SUM(D29:J29)+(D37+D45)*0.3,-2))</f>
        <v>0</v>
      </c>
      <c r="E57" s="11" t="s">
        <v>17</v>
      </c>
      <c r="G57" s="25">
        <f>IF(ISERROR(SUM(D5:J5)),"1/1年齢未入力",D61)</f>
        <v>0</v>
      </c>
      <c r="H57" s="22" t="s">
        <v>44</v>
      </c>
    </row>
    <row r="58" spans="3:8" x14ac:dyDescent="0.15">
      <c r="C58" s="20" t="s">
        <v>117</v>
      </c>
      <c r="D58" s="10">
        <f>MIN(条例数値!D22,ROUNDDOWN(SUM(D23:J23)+SUM(D30:J30)+(D39+D46)*0.3,-2))</f>
        <v>0</v>
      </c>
      <c r="E58" s="11" t="s">
        <v>17</v>
      </c>
      <c r="G58" s="25">
        <f>IF(ISERROR(SUM(D5:J5)),"1/1年齢未入力",D62)</f>
        <v>0</v>
      </c>
      <c r="H58" s="22" t="s">
        <v>55</v>
      </c>
    </row>
    <row r="59" spans="3:8" x14ac:dyDescent="0.15">
      <c r="C59" s="20" t="s">
        <v>32</v>
      </c>
      <c r="D59" s="10">
        <f>SUM(D55:D57)</f>
        <v>0</v>
      </c>
      <c r="E59" s="11" t="s">
        <v>17</v>
      </c>
      <c r="G59" s="25">
        <f>IF(ISERROR(SUM(D5:J5)),"1/1年齢未入力",D63)</f>
        <v>0</v>
      </c>
      <c r="H59" s="22" t="s">
        <v>45</v>
      </c>
    </row>
    <row r="60" spans="3:8" x14ac:dyDescent="0.15">
      <c r="G60" s="25">
        <f>IF(ISERROR(SUM(D8:J8)),"1/1年齢未入力",D64)</f>
        <v>0</v>
      </c>
      <c r="H60" s="123" t="s">
        <v>119</v>
      </c>
    </row>
    <row r="61" spans="3:8" x14ac:dyDescent="0.15">
      <c r="C61" s="20" t="s">
        <v>36</v>
      </c>
      <c r="D61" s="10">
        <f>MIN(条例数値!D7,ROUNDDOWN(SUM(D20:J20)+SUM(D27:J27)+(D33+D43)*0.5,-2))</f>
        <v>0</v>
      </c>
      <c r="E61" s="11" t="s">
        <v>17</v>
      </c>
      <c r="G61" s="25">
        <f>IF(ISERROR(SUM(D5:J5)),"1/1年齢未入力",D67)</f>
        <v>0</v>
      </c>
      <c r="H61" s="22" t="s">
        <v>46</v>
      </c>
    </row>
    <row r="62" spans="3:8" x14ac:dyDescent="0.15">
      <c r="C62" s="20" t="s">
        <v>50</v>
      </c>
      <c r="D62" s="10">
        <f>MIN(条例数値!D12,ROUNDDOWN(SUM(D21:J21)+SUM(D28:J28)+(D35+D44)*0.5,-2))</f>
        <v>0</v>
      </c>
      <c r="E62" s="11" t="s">
        <v>17</v>
      </c>
      <c r="G62" s="25">
        <f>IF(ISERROR(SUM(D5:J5)),"1/1年齢未入力",D68)</f>
        <v>0</v>
      </c>
      <c r="H62" s="22" t="s">
        <v>56</v>
      </c>
    </row>
    <row r="63" spans="3:8" x14ac:dyDescent="0.15">
      <c r="C63" s="20" t="s">
        <v>37</v>
      </c>
      <c r="D63" s="10">
        <f>MIN(条例数値!D17,ROUNDDOWN(SUM(D22:J22)+SUM(D29:J29)+(D37+D45)*0.5,-2))</f>
        <v>0</v>
      </c>
      <c r="E63" s="11" t="s">
        <v>17</v>
      </c>
      <c r="G63" s="25">
        <f>IF(ISERROR(SUM(D5:J5)),"1/1年齢未入力",D69)</f>
        <v>0</v>
      </c>
      <c r="H63" s="22" t="s">
        <v>47</v>
      </c>
    </row>
    <row r="64" spans="3:8" ht="14.25" thickBot="1" x14ac:dyDescent="0.2">
      <c r="C64" s="20" t="s">
        <v>120</v>
      </c>
      <c r="D64" s="10">
        <f>MIN(条例数値!D22,ROUNDDOWN(SUM(D23:J23)+SUM(D30:J30)+(D39+D46)*0.5,-2))</f>
        <v>0</v>
      </c>
      <c r="E64" s="11" t="s">
        <v>17</v>
      </c>
      <c r="G64" s="29">
        <f>IF(ISERROR(SUM(D8:J8)),"1/1年齢未入力",D70)</f>
        <v>0</v>
      </c>
      <c r="H64" s="23" t="s">
        <v>122</v>
      </c>
    </row>
    <row r="65" spans="3:5" ht="14.25" thickTop="1" x14ac:dyDescent="0.15">
      <c r="C65" s="20" t="s">
        <v>33</v>
      </c>
      <c r="D65" s="10">
        <f>SUM(D61:D63)</f>
        <v>0</v>
      </c>
      <c r="E65" s="11" t="s">
        <v>17</v>
      </c>
    </row>
    <row r="67" spans="3:5" x14ac:dyDescent="0.15">
      <c r="C67" s="20" t="s">
        <v>38</v>
      </c>
      <c r="D67" s="10">
        <f>MIN(条例数値!D7,ROUNDDOWN(SUM(D20:J20)+SUM(D27:J27)+(D33+D43)*0.8,-2))</f>
        <v>0</v>
      </c>
      <c r="E67" s="11" t="s">
        <v>17</v>
      </c>
    </row>
    <row r="68" spans="3:5" x14ac:dyDescent="0.15">
      <c r="C68" s="20" t="s">
        <v>51</v>
      </c>
      <c r="D68" s="10">
        <f>MIN(条例数値!D12,ROUNDDOWN(SUM(D21:J21)+SUM(D28:J28)+(D35+D44)*0.8,-2))</f>
        <v>0</v>
      </c>
      <c r="E68" s="11" t="s">
        <v>17</v>
      </c>
    </row>
    <row r="69" spans="3:5" x14ac:dyDescent="0.15">
      <c r="C69" s="20" t="s">
        <v>39</v>
      </c>
      <c r="D69" s="10">
        <f>MIN(条例数値!D17,ROUNDDOWN(SUM(D22:J22)+SUM(D29:J29)+(D37+D45)*0.8,-2))</f>
        <v>0</v>
      </c>
      <c r="E69" s="11" t="s">
        <v>17</v>
      </c>
    </row>
    <row r="70" spans="3:5" x14ac:dyDescent="0.15">
      <c r="C70" s="20" t="s">
        <v>121</v>
      </c>
      <c r="D70" s="10">
        <f>MIN(条例数値!D22,ROUNDDOWN(SUM(D23:J23)+SUM(D30:J30)+(D39+D46)*0.8,-2))</f>
        <v>0</v>
      </c>
      <c r="E70" s="11" t="s">
        <v>17</v>
      </c>
    </row>
    <row r="71" spans="3:5" x14ac:dyDescent="0.15">
      <c r="C71" s="20" t="s">
        <v>40</v>
      </c>
      <c r="D71" s="10">
        <f>SUM(D67:D69)</f>
        <v>0</v>
      </c>
      <c r="E71" s="11" t="s">
        <v>17</v>
      </c>
    </row>
  </sheetData>
  <mergeCells count="1">
    <mergeCell ref="C38:C39"/>
  </mergeCells>
  <phoneticPr fontId="2"/>
  <pageMargins left="0.49" right="0.39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3"/>
  </sheetPr>
  <dimension ref="B2:L27"/>
  <sheetViews>
    <sheetView workbookViewId="0">
      <selection activeCell="E9" sqref="E9"/>
    </sheetView>
  </sheetViews>
  <sheetFormatPr defaultRowHeight="13.5" x14ac:dyDescent="0.15"/>
  <cols>
    <col min="1" max="1" width="3.5" customWidth="1"/>
    <col min="2" max="2" width="10.25" bestFit="1" customWidth="1"/>
    <col min="3" max="3" width="7.375" customWidth="1"/>
    <col min="4" max="4" width="9.875" customWidth="1"/>
    <col min="5" max="5" width="7.5" customWidth="1"/>
    <col min="6" max="12" width="12" customWidth="1"/>
  </cols>
  <sheetData>
    <row r="2" spans="2:12" x14ac:dyDescent="0.15">
      <c r="B2" t="s">
        <v>5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</row>
    <row r="3" spans="2:12" x14ac:dyDescent="0.15">
      <c r="B3" s="1">
        <v>0</v>
      </c>
      <c r="C3" t="s">
        <v>2</v>
      </c>
      <c r="D3" s="1">
        <v>651000</v>
      </c>
      <c r="E3" t="s">
        <v>1</v>
      </c>
      <c r="F3" s="17">
        <f>IF(AND(計算書!D8&gt;=$B3,計算書!D8&lt;$D3),0,"not")</f>
        <v>0</v>
      </c>
      <c r="G3" s="17">
        <f>IF(AND(計算書!E8&gt;=$B3,計算書!E8&lt;$D3),0,"not")</f>
        <v>0</v>
      </c>
      <c r="H3" s="17">
        <f>IF(AND(計算書!F8&gt;=$B3,計算書!F8&lt;$D3),0,"not")</f>
        <v>0</v>
      </c>
      <c r="I3" s="17">
        <f>IF(AND(計算書!G8&gt;=$B3,計算書!G8&lt;$D3),0,"not")</f>
        <v>0</v>
      </c>
      <c r="J3" s="17">
        <f>IF(AND(計算書!H8&gt;=$B3,計算書!H8&lt;$D3),0,"not")</f>
        <v>0</v>
      </c>
      <c r="K3" s="17">
        <f>IF(AND(計算書!I8&gt;=$B3,計算書!I8&lt;$D3),0,"not")</f>
        <v>0</v>
      </c>
      <c r="L3" s="17">
        <f>IF(AND(計算書!J8&gt;=$B3,計算書!J8&lt;$D3),0,"not")</f>
        <v>0</v>
      </c>
    </row>
    <row r="4" spans="2:12" x14ac:dyDescent="0.15">
      <c r="B4" s="1">
        <v>651000</v>
      </c>
      <c r="C4" t="s">
        <v>2</v>
      </c>
      <c r="D4" s="1">
        <v>1900000</v>
      </c>
      <c r="E4" t="s">
        <v>1</v>
      </c>
      <c r="F4" s="17" t="str">
        <f>IF(AND(計算書!D8&gt;=$B4,計算書!D8&lt;$D4),計算書!D8-650000,"not")</f>
        <v>not</v>
      </c>
      <c r="G4" s="17" t="str">
        <f>IF(AND(計算書!E8&gt;=$B4,計算書!E8&lt;$D4),計算書!E8-650000,"not")</f>
        <v>not</v>
      </c>
      <c r="H4" s="17" t="str">
        <f>IF(AND(計算書!F8&gt;=$B4,計算書!F8&lt;$D4),計算書!F8-650000,"not")</f>
        <v>not</v>
      </c>
      <c r="I4" s="17" t="str">
        <f>IF(AND(計算書!G8&gt;=$B4,計算書!G8&lt;$D4),計算書!G8-650000,"not")</f>
        <v>not</v>
      </c>
      <c r="J4" s="17" t="str">
        <f>IF(AND(計算書!H8&gt;=$B4,計算書!H8&lt;$D4),計算書!H8-650000,"not")</f>
        <v>not</v>
      </c>
      <c r="K4" s="17" t="str">
        <f>IF(AND(計算書!I8&gt;=$B4,計算書!I8&lt;$D4),計算書!I8-650000,"not")</f>
        <v>not</v>
      </c>
      <c r="L4" s="17" t="str">
        <f>IF(AND(計算書!J8&gt;=$B4,計算書!J8&lt;$D4),計算書!J8-650000,"not")</f>
        <v>not</v>
      </c>
    </row>
    <row r="5" spans="2:12" x14ac:dyDescent="0.15">
      <c r="B5" s="1"/>
      <c r="C5" t="s">
        <v>2</v>
      </c>
      <c r="D5" s="1"/>
      <c r="E5" t="s">
        <v>1</v>
      </c>
      <c r="F5" s="17" t="str">
        <f>IF(AND(計算書!D8&gt;=$B5,計算書!D8&lt;$D5),1069000,"not")</f>
        <v>not</v>
      </c>
      <c r="G5" s="17" t="str">
        <f>IF(AND(計算書!E8&gt;=$B5,計算書!E8&lt;$D5),1069000,"not")</f>
        <v>not</v>
      </c>
      <c r="H5" s="17" t="str">
        <f>IF(AND(計算書!F8&gt;=$B5,計算書!F8&lt;$D5),1069000,"not")</f>
        <v>not</v>
      </c>
      <c r="I5" s="17" t="str">
        <f>IF(AND(計算書!G8&gt;=$B5,計算書!G8&lt;$D5),1069000,"not")</f>
        <v>not</v>
      </c>
      <c r="J5" s="17" t="str">
        <f>IF(AND(計算書!H8&gt;=$B5,計算書!H8&lt;$D5),1069000,"not")</f>
        <v>not</v>
      </c>
      <c r="K5" s="17" t="str">
        <f>IF(AND(計算書!I8&gt;=$B5,計算書!I8&lt;$D5),1069000,"not")</f>
        <v>not</v>
      </c>
      <c r="L5" s="17" t="str">
        <f>IF(AND(計算書!J8&gt;=$B5,計算書!J8&lt;$D5),1069000,"not")</f>
        <v>not</v>
      </c>
    </row>
    <row r="6" spans="2:12" x14ac:dyDescent="0.15">
      <c r="B6" s="1"/>
      <c r="C6" t="s">
        <v>2</v>
      </c>
      <c r="D6" s="1"/>
      <c r="E6" t="s">
        <v>1</v>
      </c>
      <c r="F6" s="17" t="str">
        <f>IF(AND(計算書!D8&gt;=$B6,計算書!D8&lt;$D6),1070000,"not")</f>
        <v>not</v>
      </c>
      <c r="G6" s="17" t="str">
        <f>IF(AND(計算書!E8&gt;=$B6,計算書!E8&lt;$D6),1070000,"not")</f>
        <v>not</v>
      </c>
      <c r="H6" s="17" t="str">
        <f>IF(AND(計算書!F8&gt;=$B6,計算書!F8&lt;$D6),1070000,"not")</f>
        <v>not</v>
      </c>
      <c r="I6" s="17" t="str">
        <f>IF(AND(計算書!G8&gt;=$B6,計算書!G8&lt;$D6),1070000,"not")</f>
        <v>not</v>
      </c>
      <c r="J6" s="17" t="str">
        <f>IF(AND(計算書!H8&gt;=$B6,計算書!H8&lt;$D6),1070000,"not")</f>
        <v>not</v>
      </c>
      <c r="K6" s="17" t="str">
        <f>IF(AND(計算書!I8&gt;=$B6,計算書!I8&lt;$D6),1070000,"not")</f>
        <v>not</v>
      </c>
      <c r="L6" s="17" t="str">
        <f>IF(AND(計算書!J8&gt;=$B6,計算書!J8&lt;$D6),1070000,"not")</f>
        <v>not</v>
      </c>
    </row>
    <row r="7" spans="2:12" x14ac:dyDescent="0.15">
      <c r="B7" s="1"/>
      <c r="C7" t="s">
        <v>2</v>
      </c>
      <c r="D7" s="1"/>
      <c r="E7" t="s">
        <v>1</v>
      </c>
      <c r="F7" s="17" t="str">
        <f>IF(AND(計算書!D8&gt;=$B7,計算書!D8&lt;$D7),1072000,"not")</f>
        <v>not</v>
      </c>
      <c r="G7" s="17" t="str">
        <f>IF(AND(計算書!E8&gt;=$B7,計算書!E8&lt;$D7),1072000,"not")</f>
        <v>not</v>
      </c>
      <c r="H7" s="17" t="str">
        <f>IF(AND(計算書!F8&gt;=$B7,計算書!F8&lt;$D7),1072000,"not")</f>
        <v>not</v>
      </c>
      <c r="I7" s="17" t="str">
        <f>IF(AND(計算書!G8&gt;=$B7,計算書!G8&lt;$D7),1072000,"not")</f>
        <v>not</v>
      </c>
      <c r="J7" s="17" t="str">
        <f>IF(AND(計算書!H8&gt;=$B7,計算書!H8&lt;$D7),1072000,"not")</f>
        <v>not</v>
      </c>
      <c r="K7" s="17" t="str">
        <f>IF(AND(計算書!I8&gt;=$B7,計算書!I8&lt;$D7),1072000,"not")</f>
        <v>not</v>
      </c>
      <c r="L7" s="17" t="str">
        <f>IF(AND(計算書!J8&gt;=$B7,計算書!J8&lt;$D7),1072000,"not")</f>
        <v>not</v>
      </c>
    </row>
    <row r="8" spans="2:12" x14ac:dyDescent="0.15">
      <c r="B8" s="1"/>
      <c r="C8" t="s">
        <v>2</v>
      </c>
      <c r="D8" s="1"/>
      <c r="E8" t="s">
        <v>1</v>
      </c>
      <c r="F8" s="17" t="str">
        <f>IF(AND(計算書!D8&gt;=$B8,計算書!D8&lt;$D8),1074000,"not")</f>
        <v>not</v>
      </c>
      <c r="G8" s="17" t="str">
        <f>IF(AND(計算書!E8&gt;=$B8,計算書!E8&lt;$D8),1074000,"not")</f>
        <v>not</v>
      </c>
      <c r="H8" s="17" t="str">
        <f>IF(AND(計算書!F8&gt;=$B8,計算書!F8&lt;$D8),1074000,"not")</f>
        <v>not</v>
      </c>
      <c r="I8" s="17" t="str">
        <f>IF(AND(計算書!G8&gt;=$B8,計算書!G8&lt;$D8),1074000,"not")</f>
        <v>not</v>
      </c>
      <c r="J8" s="17" t="str">
        <f>IF(AND(計算書!H8&gt;=$B8,計算書!H8&lt;$D8),1074000,"not")</f>
        <v>not</v>
      </c>
      <c r="K8" s="17" t="str">
        <f>IF(AND(計算書!I8&gt;=$B8,計算書!I8&lt;$D8),1074000,"not")</f>
        <v>not</v>
      </c>
      <c r="L8" s="17" t="str">
        <f>IF(AND(計算書!J8&gt;=$B8,計算書!J8&lt;$D8),1074000,"not")</f>
        <v>not</v>
      </c>
    </row>
    <row r="9" spans="2:12" x14ac:dyDescent="0.15">
      <c r="B9" s="1"/>
      <c r="C9" t="s">
        <v>2</v>
      </c>
      <c r="D9" s="1"/>
      <c r="E9" t="s">
        <v>1</v>
      </c>
      <c r="F9" s="17" t="str">
        <f>IF(AND(計算書!D8&gt;=$B9,計算書!D8&lt;$D9),ROUNDDOWN(計算書!D8/4,-3)*2.4+100000,"not")</f>
        <v>not</v>
      </c>
      <c r="G9" s="17" t="str">
        <f>IF(AND(計算書!E8&gt;=$B9,計算書!E8&lt;$D9),ROUNDDOWN(計算書!E8/4,-3)*2.4+100000,"not")</f>
        <v>not</v>
      </c>
      <c r="H9" s="17" t="str">
        <f>IF(AND(計算書!F8&gt;=$B9,計算書!F8&lt;$D9),ROUNDDOWN(計算書!F8/4,-3)*2.4+100000,"not")</f>
        <v>not</v>
      </c>
      <c r="I9" s="17" t="str">
        <f>IF(AND(計算書!G8&gt;=$B9,計算書!G8&lt;$D9),ROUNDDOWN(計算書!G8/4,-3)*2.4+100000,"not")</f>
        <v>not</v>
      </c>
      <c r="J9" s="17" t="str">
        <f>IF(AND(計算書!H8&gt;=$B9,計算書!H8&lt;$D9),ROUNDDOWN(計算書!H8/4,-3)*2.4+100000,"not")</f>
        <v>not</v>
      </c>
      <c r="K9" s="17" t="str">
        <f>IF(AND(計算書!I8&gt;=$B9,計算書!I8&lt;$D9),ROUNDDOWN(計算書!I8/4,-3)*2.4+100000,"not")</f>
        <v>not</v>
      </c>
      <c r="L9" s="17" t="str">
        <f>IF(AND(計算書!J8&gt;=$B9,計算書!J8&lt;$D9),ROUNDDOWN(計算書!J8/4,-3)*2.4+100000,"not")</f>
        <v>not</v>
      </c>
    </row>
    <row r="10" spans="2:12" x14ac:dyDescent="0.15">
      <c r="B10" s="1">
        <v>1900000</v>
      </c>
      <c r="C10" t="s">
        <v>2</v>
      </c>
      <c r="D10" s="1">
        <v>3600000</v>
      </c>
      <c r="E10" t="s">
        <v>1</v>
      </c>
      <c r="F10" s="17" t="str">
        <f>IF(AND(計算書!D8&gt;=$B10,計算書!D8&lt;$D10),ROUNDDOWN(計算書!D8/4,-3)*2.8-80000,"not")</f>
        <v>not</v>
      </c>
      <c r="G10" s="17" t="str">
        <f>IF(AND(計算書!E8&gt;=$B10,計算書!E8&lt;$D10),ROUNDDOWN(計算書!E8/4,-3)*2.8-80000,"not")</f>
        <v>not</v>
      </c>
      <c r="H10" s="17" t="str">
        <f>IF(AND(計算書!F8&gt;=$B10,計算書!F8&lt;$D10),ROUNDDOWN(計算書!F8/4,-3)*2.8-80000,"not")</f>
        <v>not</v>
      </c>
      <c r="I10" s="17" t="str">
        <f>IF(AND(計算書!G8&gt;=$B10,計算書!G8&lt;$D10),ROUNDDOWN(計算書!G8/4,-3)*2.8-80000,"not")</f>
        <v>not</v>
      </c>
      <c r="J10" s="17" t="str">
        <f>IF(AND(計算書!H8&gt;=$B10,計算書!H8&lt;$D10),ROUNDDOWN(計算書!H8/4,-3)*2.8-80000,"not")</f>
        <v>not</v>
      </c>
      <c r="K10" s="17" t="str">
        <f>IF(AND(計算書!I8&gt;=$B10,計算書!I8&lt;$D10),ROUNDDOWN(計算書!I8/4,-3)*2.8-80000,"not")</f>
        <v>not</v>
      </c>
      <c r="L10" s="17" t="str">
        <f>IF(AND(計算書!J8&gt;=$B10,計算書!J8&lt;$D10),ROUNDDOWN(計算書!J8/4,-3)*2.8-80000,"not")</f>
        <v>not</v>
      </c>
    </row>
    <row r="11" spans="2:12" x14ac:dyDescent="0.15">
      <c r="B11" s="1">
        <v>3600000</v>
      </c>
      <c r="C11" t="s">
        <v>2</v>
      </c>
      <c r="D11" s="1">
        <v>6600000</v>
      </c>
      <c r="E11" t="s">
        <v>1</v>
      </c>
      <c r="F11" s="17" t="str">
        <f>IF(AND(計算書!D8&gt;=$B11,計算書!D8&lt;$D11),ROUNDDOWN(計算書!D8/4,-3)*3.2-440000,"not")</f>
        <v>not</v>
      </c>
      <c r="G11" s="17" t="str">
        <f>IF(AND(計算書!E8&gt;=$B11,計算書!E8&lt;$D11),ROUNDDOWN(計算書!E8/4,-3)*3.2-440000,"not")</f>
        <v>not</v>
      </c>
      <c r="H11" s="17" t="str">
        <f>IF(AND(計算書!F8&gt;=$B11,計算書!F8&lt;$D11),ROUNDDOWN(計算書!F8/4,-3)*3.2-440000,"not")</f>
        <v>not</v>
      </c>
      <c r="I11" s="17" t="str">
        <f>IF(AND(計算書!G8&gt;=$B11,計算書!G8&lt;$D11),ROUNDDOWN(計算書!G8/4,-3)*3.2-440000,"not")</f>
        <v>not</v>
      </c>
      <c r="J11" s="17" t="str">
        <f>IF(AND(計算書!H8&gt;=$B11,計算書!H8&lt;$D11),ROUNDDOWN(計算書!H8/4,-3)*3.2-440000,"not")</f>
        <v>not</v>
      </c>
      <c r="K11" s="17" t="str">
        <f>IF(AND(計算書!I8&gt;=$B11,計算書!I8&lt;$D11),ROUNDDOWN(計算書!I8/4,-3)*3.2-440000,"not")</f>
        <v>not</v>
      </c>
      <c r="L11" s="17" t="str">
        <f>IF(AND(計算書!J8&gt;=$B11,計算書!J8&lt;$D11),ROUNDDOWN(計算書!J8/4,-3)*3.2-440000,"not")</f>
        <v>not</v>
      </c>
    </row>
    <row r="12" spans="2:12" x14ac:dyDescent="0.15">
      <c r="B12" s="1">
        <v>6600000</v>
      </c>
      <c r="C12" t="s">
        <v>2</v>
      </c>
      <c r="D12" s="1">
        <v>8500000</v>
      </c>
      <c r="E12" t="s">
        <v>1</v>
      </c>
      <c r="F12" s="17" t="str">
        <f>IF(AND(計算書!D8&gt;=$B12,計算書!D8&lt;$D12),ROUNDDOWN(計算書!D8*0.9-1100000,0),"not")</f>
        <v>not</v>
      </c>
      <c r="G12" s="17" t="str">
        <f>IF(AND(計算書!E8&gt;=$B12,計算書!E8&lt;$D12),ROUNDDOWN(計算書!E8*0.9-1100000,0),"not")</f>
        <v>not</v>
      </c>
      <c r="H12" s="17" t="str">
        <f>IF(AND(計算書!F8&gt;=$B12,計算書!F8&lt;$D12),ROUNDDOWN(計算書!F8*0.9-1100000,0),"not")</f>
        <v>not</v>
      </c>
      <c r="I12" s="17" t="str">
        <f>IF(AND(計算書!G8&gt;=$B12,計算書!G8&lt;$D12),ROUNDDOWN(計算書!G8*0.9-1100000,0),"not")</f>
        <v>not</v>
      </c>
      <c r="J12" s="17" t="str">
        <f>IF(AND(計算書!H8&gt;=$B12,計算書!H8&lt;$D12),ROUNDDOWN(計算書!H8*0.9-1100000,0),"not")</f>
        <v>not</v>
      </c>
      <c r="K12" s="17" t="str">
        <f>IF(AND(計算書!I8&gt;=$B12,計算書!I8&lt;$D12),ROUNDDOWN(計算書!I8*0.9-1100000,0),"not")</f>
        <v>not</v>
      </c>
      <c r="L12" s="17" t="str">
        <f>IF(AND(計算書!J8&gt;=$B12,計算書!J8&lt;$D12),ROUNDDOWN(計算書!J8*0.9-1100000,0),"not")</f>
        <v>not</v>
      </c>
    </row>
    <row r="13" spans="2:12" x14ac:dyDescent="0.15">
      <c r="B13" s="1">
        <v>8500000</v>
      </c>
      <c r="C13" t="s">
        <v>2</v>
      </c>
      <c r="D13" s="24">
        <v>999999999</v>
      </c>
      <c r="E13" t="s">
        <v>1</v>
      </c>
      <c r="F13" s="17" t="str">
        <f>IF(計算書!D8&gt;=$B13,計算書!D8-1950000,"not")</f>
        <v>not</v>
      </c>
      <c r="G13" s="17" t="str">
        <f>IF(計算書!E8&gt;=$B13,計算書!E8-1950000,"not")</f>
        <v>not</v>
      </c>
      <c r="H13" s="17" t="str">
        <f>IF(計算書!F8&gt;=$B13,計算書!F8-1950000,"not")</f>
        <v>not</v>
      </c>
      <c r="I13" s="17" t="str">
        <f>IF(計算書!G8&gt;=$B13,計算書!G8-1950000,"not")</f>
        <v>not</v>
      </c>
      <c r="J13" s="17" t="str">
        <f>IF(計算書!H8&gt;=$B13,計算書!H8-1950000,"not")</f>
        <v>not</v>
      </c>
      <c r="K13" s="17" t="str">
        <f>IF(計算書!I8&gt;=$B13,計算書!I8-1950000,"not")</f>
        <v>not</v>
      </c>
      <c r="L13" s="17" t="str">
        <f>IF(計算書!J8&gt;=$B13,計算書!J8-1950000,"not")</f>
        <v>not</v>
      </c>
    </row>
    <row r="15" spans="2:12" x14ac:dyDescent="0.15">
      <c r="B15" t="s">
        <v>4</v>
      </c>
      <c r="F15" s="2" t="s">
        <v>9</v>
      </c>
      <c r="G15" s="2" t="s">
        <v>10</v>
      </c>
      <c r="H15" s="2" t="s">
        <v>11</v>
      </c>
      <c r="I15" s="2" t="s">
        <v>12</v>
      </c>
      <c r="J15" s="2" t="s">
        <v>13</v>
      </c>
      <c r="K15" s="2" t="s">
        <v>14</v>
      </c>
      <c r="L15" s="2" t="s">
        <v>15</v>
      </c>
    </row>
    <row r="16" spans="2:12" x14ac:dyDescent="0.15">
      <c r="B16" s="1">
        <v>0</v>
      </c>
      <c r="C16" t="s">
        <v>2</v>
      </c>
      <c r="D16" s="1">
        <v>3300000</v>
      </c>
      <c r="E16" t="s">
        <v>1</v>
      </c>
      <c r="F16" s="17">
        <f>IF(AND(計算書!D12&gt;=$B16,計算書!D12&lt;$D16),MAX(計算書!D12-1100000+計算書!D13,0),"not")</f>
        <v>0</v>
      </c>
      <c r="G16" s="17">
        <f>IF(AND(計算書!E12&gt;=$B16,計算書!E12&lt;$D16),MAX(計算書!E12-1100000+計算書!E13,0),"not")</f>
        <v>0</v>
      </c>
      <c r="H16" s="17">
        <f>IF(AND(計算書!F12&gt;=$B16,計算書!F12&lt;$D16),MAX(計算書!F12-1100000+計算書!F13,0),"not")</f>
        <v>0</v>
      </c>
      <c r="I16" s="17">
        <f>IF(AND(計算書!G12&gt;=$B16,計算書!G12&lt;$D16),MAX(計算書!G12-1100000+計算書!G13,0),"not")</f>
        <v>0</v>
      </c>
      <c r="J16" s="17">
        <f>IF(AND(計算書!H12&gt;=$B16,計算書!H12&lt;$D16),MAX(計算書!H12-1100000+計算書!H13,0),"not")</f>
        <v>0</v>
      </c>
      <c r="K16" s="17">
        <f>IF(AND(計算書!I12&gt;=$B16,計算書!I12&lt;$D16),MAX(計算書!I12-1100000+計算書!I13,0),"not")</f>
        <v>0</v>
      </c>
      <c r="L16" s="17">
        <f>IF(AND(計算書!J12&gt;=$B16,計算書!J12&lt;$D16),MAX(計算書!J12-1100000+計算書!J13,0),"not")</f>
        <v>0</v>
      </c>
    </row>
    <row r="17" spans="2:12" x14ac:dyDescent="0.15">
      <c r="B17" s="1">
        <v>3300000</v>
      </c>
      <c r="C17" t="s">
        <v>2</v>
      </c>
      <c r="D17" s="1">
        <v>4100000</v>
      </c>
      <c r="E17" t="s">
        <v>1</v>
      </c>
      <c r="F17" s="17" t="str">
        <f>IF(AND(計算書!D12&gt;=$B17,計算書!D12&lt;$D17),ROUNDDOWN(計算書!D12*0.75-275000+計算書!D13,0),"not")</f>
        <v>not</v>
      </c>
      <c r="G17" s="17" t="str">
        <f>IF(AND(計算書!E12&gt;=$B17,計算書!E12&lt;$D17),ROUNDDOWN(計算書!E12*0.75-275000+計算書!E13,0),"not")</f>
        <v>not</v>
      </c>
      <c r="H17" s="17" t="str">
        <f>IF(AND(計算書!F12&gt;=$B17,計算書!F12&lt;$D17),ROUNDDOWN(計算書!F12*0.75-275000+計算書!F13,0),"not")</f>
        <v>not</v>
      </c>
      <c r="I17" s="17" t="str">
        <f>IF(AND(計算書!G12&gt;=$B17,計算書!G12&lt;$D17),ROUNDDOWN(計算書!G12*0.75-275000+計算書!G13,0),"not")</f>
        <v>not</v>
      </c>
      <c r="J17" s="17" t="str">
        <f>IF(AND(計算書!H12&gt;=$B17,計算書!H12&lt;$D17),ROUNDDOWN(計算書!H12*0.75-275000+計算書!H13,0),"not")</f>
        <v>not</v>
      </c>
      <c r="K17" s="17" t="str">
        <f>IF(AND(計算書!I12&gt;=$B17,計算書!I12&lt;$D17),ROUNDDOWN(計算書!I12*0.75-275000+計算書!I13,0),"not")</f>
        <v>not</v>
      </c>
      <c r="L17" s="17" t="str">
        <f>IF(AND(計算書!J12&gt;=$B17,計算書!J12&lt;$D17),ROUNDDOWN(計算書!J12*0.75-275000+計算書!J13,0),"not")</f>
        <v>not</v>
      </c>
    </row>
    <row r="18" spans="2:12" x14ac:dyDescent="0.15">
      <c r="B18" s="1">
        <v>4100000</v>
      </c>
      <c r="C18" t="s">
        <v>2</v>
      </c>
      <c r="D18" s="1">
        <v>7700000</v>
      </c>
      <c r="E18" t="s">
        <v>1</v>
      </c>
      <c r="F18" s="17" t="str">
        <f>IF(AND(計算書!D12&gt;=$B18,計算書!D12&lt;$D18),ROUNDDOWN(計算書!D12*0.85-685000+計算書!D13,0),"not")</f>
        <v>not</v>
      </c>
      <c r="G18" s="17" t="str">
        <f>IF(AND(計算書!E12&gt;=$B18,計算書!E12&lt;$D18),ROUNDDOWN(計算書!E12*0.85-685000+計算書!E13,0),"not")</f>
        <v>not</v>
      </c>
      <c r="H18" s="17" t="str">
        <f>IF(AND(計算書!F12&gt;=$B18,計算書!F12&lt;$D18),ROUNDDOWN(計算書!F12*0.85-685000+計算書!F13,0),"not")</f>
        <v>not</v>
      </c>
      <c r="I18" s="17" t="str">
        <f>IF(AND(計算書!G12&gt;=$B18,計算書!G12&lt;$D18),ROUNDDOWN(計算書!G12*0.85-685000+計算書!G13,0),"not")</f>
        <v>not</v>
      </c>
      <c r="J18" s="17" t="str">
        <f>IF(AND(計算書!H12&gt;=$B18,計算書!H12&lt;$D18),ROUNDDOWN(計算書!H12*0.85-685000+計算書!H13,0),"not")</f>
        <v>not</v>
      </c>
      <c r="K18" s="17" t="str">
        <f>IF(AND(計算書!I12&gt;=$B18,計算書!I12&lt;$D18),ROUNDDOWN(計算書!I12*0.85-685000+計算書!I13,0),"not")</f>
        <v>not</v>
      </c>
      <c r="L18" s="17" t="str">
        <f>IF(AND(計算書!J12&gt;=$B18,計算書!J12&lt;$D18),ROUNDDOWN(計算書!J12*0.85-685000+計算書!J13,0),"not")</f>
        <v>not</v>
      </c>
    </row>
    <row r="19" spans="2:12" x14ac:dyDescent="0.15">
      <c r="B19" s="1">
        <v>7700000</v>
      </c>
      <c r="C19" t="s">
        <v>2</v>
      </c>
      <c r="D19" s="24">
        <v>10000000</v>
      </c>
      <c r="E19" t="s">
        <v>1</v>
      </c>
      <c r="F19" s="17" t="str">
        <f>IF(AND(計算書!D12&gt;=$B19,計算書!D12&lt;$D19),ROUNDDOWN(計算書!D12*0.95-1455000+計算書!D13,0),"not")</f>
        <v>not</v>
      </c>
      <c r="G19" s="17" t="str">
        <f>IF(AND(計算書!E12&gt;=$B19,計算書!E12&lt;$D19),ROUNDDOWN(計算書!E12*0.95-1455000+計算書!E13,0),"not")</f>
        <v>not</v>
      </c>
      <c r="H19" s="17" t="str">
        <f>IF(AND(計算書!F12&gt;=$B19,計算書!F12&lt;$D19),ROUNDDOWN(計算書!F12*0.95-1455000+計算書!F13,0),"not")</f>
        <v>not</v>
      </c>
      <c r="I19" s="17" t="str">
        <f>IF(AND(計算書!G12&gt;=$B19,計算書!G12&lt;$D19),ROUNDDOWN(計算書!G12*0.95-1455000+計算書!G13,0),"not")</f>
        <v>not</v>
      </c>
      <c r="J19" s="17" t="str">
        <f>IF(AND(計算書!H12&gt;=$B19,計算書!H12&lt;$D19),ROUNDDOWN(計算書!H12*0.95-1455000+計算書!H13,0),"not")</f>
        <v>not</v>
      </c>
      <c r="K19" s="17" t="str">
        <f>IF(AND(計算書!I12&gt;=$B19,計算書!I12&lt;$D19),ROUNDDOWN(計算書!I12*0.95-1455000+計算書!I13,0),"not")</f>
        <v>not</v>
      </c>
      <c r="L19" s="17" t="str">
        <f>IF(AND(計算書!J12&gt;=$B19,計算書!J12&lt;$D19),ROUNDDOWN(計算書!J12*0.95-1455000+計算書!J13,0),"not")</f>
        <v>not</v>
      </c>
    </row>
    <row r="20" spans="2:12" x14ac:dyDescent="0.15">
      <c r="B20" s="1">
        <v>10000000</v>
      </c>
      <c r="C20" t="s">
        <v>2</v>
      </c>
      <c r="D20" s="24">
        <v>999999999</v>
      </c>
      <c r="E20" t="s">
        <v>1</v>
      </c>
      <c r="F20" s="17" t="str">
        <f>IF(計算書!D12&gt;=$B20,計算書!D12-1955000+計算書!D13,"not")</f>
        <v>not</v>
      </c>
      <c r="G20" s="17" t="str">
        <f>IF(計算書!E12&gt;=$B20,計算書!E12-1955000+計算書!E13,"not")</f>
        <v>not</v>
      </c>
      <c r="H20" s="17" t="str">
        <f>IF(計算書!F12&gt;=$B20,計算書!F12-1955000+計算書!F13,"not")</f>
        <v>not</v>
      </c>
      <c r="I20" s="17" t="str">
        <f>IF(計算書!G12&gt;=$B20,計算書!G12-1955000+計算書!G13,"not")</f>
        <v>not</v>
      </c>
      <c r="J20" s="17" t="str">
        <f>IF(計算書!H12&gt;=$B20,計算書!H12-1955000+計算書!H13,"not")</f>
        <v>not</v>
      </c>
      <c r="K20" s="17" t="str">
        <f>IF(計算書!I12&gt;=$B20,計算書!I12-1955000+計算書!I13,"not")</f>
        <v>not</v>
      </c>
      <c r="L20" s="17" t="str">
        <f>IF(計算書!J12&gt;=$B20,計算書!J12-1955000+計算書!J13,"not")</f>
        <v>not</v>
      </c>
    </row>
    <row r="22" spans="2:12" x14ac:dyDescent="0.15">
      <c r="B22" t="s">
        <v>3</v>
      </c>
      <c r="F22" s="2" t="s">
        <v>9</v>
      </c>
      <c r="G22" s="2" t="s">
        <v>10</v>
      </c>
      <c r="H22" s="2" t="s">
        <v>11</v>
      </c>
      <c r="I22" s="2" t="s">
        <v>12</v>
      </c>
      <c r="J22" s="2" t="s">
        <v>13</v>
      </c>
      <c r="K22" s="2" t="s">
        <v>14</v>
      </c>
      <c r="L22" s="2" t="s">
        <v>15</v>
      </c>
    </row>
    <row r="23" spans="2:12" x14ac:dyDescent="0.15">
      <c r="B23" s="1">
        <v>0</v>
      </c>
      <c r="C23" t="s">
        <v>2</v>
      </c>
      <c r="D23" s="1">
        <v>1300000</v>
      </c>
      <c r="E23" t="s">
        <v>1</v>
      </c>
      <c r="F23" s="17">
        <f>IF(AND(計算書!D12&gt;=$B23,計算書!D12&lt;$D23),MAX(計算書!D12-600000+計算書!D13,0),"not")</f>
        <v>0</v>
      </c>
      <c r="G23" s="17">
        <f>IF(AND(計算書!E12&gt;=$B23,計算書!E12&lt;$D23),MAX(計算書!E12-600000+計算書!E13,0),"not")</f>
        <v>0</v>
      </c>
      <c r="H23" s="17">
        <f>IF(AND(計算書!F12&gt;=$B23,計算書!F12&lt;$D23),MAX(計算書!F12-600000+計算書!F13,0),"not")</f>
        <v>0</v>
      </c>
      <c r="I23" s="17">
        <f>IF(AND(計算書!G12&gt;=$B23,計算書!G12&lt;$D23),MAX(計算書!G12-600000+計算書!G13,0),"not")</f>
        <v>0</v>
      </c>
      <c r="J23" s="17">
        <f>IF(AND(計算書!H12&gt;=$B23,計算書!H12&lt;$D23),MAX(計算書!H12-600000+計算書!H13,0),"not")</f>
        <v>0</v>
      </c>
      <c r="K23" s="17">
        <f>IF(AND(計算書!I12&gt;=$B23,計算書!I12&lt;$D23),MAX(計算書!I12-600000+計算書!I13,0),"not")</f>
        <v>0</v>
      </c>
      <c r="L23" s="17">
        <f>IF(AND(計算書!J12&gt;=$B23,計算書!J12&lt;$D23),MAX(計算書!J12-600000+計算書!J13,0),"not")</f>
        <v>0</v>
      </c>
    </row>
    <row r="24" spans="2:12" x14ac:dyDescent="0.15">
      <c r="B24" s="1">
        <v>1300000</v>
      </c>
      <c r="C24" t="s">
        <v>2</v>
      </c>
      <c r="D24" s="1">
        <v>4100000</v>
      </c>
      <c r="E24" t="s">
        <v>1</v>
      </c>
      <c r="F24" s="17" t="str">
        <f>IF(AND(計算書!D12&gt;=$B24,計算書!D12&lt;$D24),ROUNDDOWN(計算書!D12*0.75-275000+計算書!D13,0),"not")</f>
        <v>not</v>
      </c>
      <c r="G24" s="17" t="str">
        <f>IF(AND(計算書!E12&gt;=$B24,計算書!E12&lt;$D24),ROUNDDOWN(計算書!E12*0.75-275000+計算書!E13,0),"not")</f>
        <v>not</v>
      </c>
      <c r="H24" s="17" t="str">
        <f>IF(AND(計算書!F12&gt;=$B24,計算書!F12&lt;$D24),ROUNDDOWN(計算書!F12*0.75-275000+計算書!F13,0),"not")</f>
        <v>not</v>
      </c>
      <c r="I24" s="17" t="str">
        <f>IF(AND(計算書!G12&gt;=$B24,計算書!G12&lt;$D24),ROUNDDOWN(計算書!G12*0.75-275000+計算書!G13,0),"not")</f>
        <v>not</v>
      </c>
      <c r="J24" s="17" t="str">
        <f>IF(AND(計算書!H12&gt;=$B24,計算書!H12&lt;$D24),ROUNDDOWN(計算書!H12*0.75-275000+計算書!H13,0),"not")</f>
        <v>not</v>
      </c>
      <c r="K24" s="17" t="str">
        <f>IF(AND(計算書!I12&gt;=$B24,計算書!I12&lt;$D24),ROUNDDOWN(計算書!I12*0.75-275000+計算書!I13,0),"not")</f>
        <v>not</v>
      </c>
      <c r="L24" s="17" t="str">
        <f>IF(AND(計算書!J12&gt;=$B24,計算書!J12&lt;$D24),ROUNDDOWN(計算書!J12*0.75-275000+計算書!J13,0),"not")</f>
        <v>not</v>
      </c>
    </row>
    <row r="25" spans="2:12" x14ac:dyDescent="0.15">
      <c r="B25" s="1">
        <v>4100000</v>
      </c>
      <c r="C25" t="s">
        <v>2</v>
      </c>
      <c r="D25" s="1">
        <v>7700000</v>
      </c>
      <c r="E25" t="s">
        <v>1</v>
      </c>
      <c r="F25" s="17" t="str">
        <f>IF(AND(計算書!D12&gt;=$B25,計算書!D12&lt;$D25),ROUNDDOWN(計算書!D12*0.85-685000+計算書!D13,0),"not")</f>
        <v>not</v>
      </c>
      <c r="G25" s="17" t="str">
        <f>IF(AND(計算書!E12&gt;=$B25,計算書!E12&lt;$D25),ROUNDDOWN(計算書!E12*0.85-685000+計算書!E13,0),"not")</f>
        <v>not</v>
      </c>
      <c r="H25" s="17" t="str">
        <f>IF(AND(計算書!F12&gt;=$B25,計算書!F12&lt;$D25),ROUNDDOWN(計算書!F12*0.85-685000+計算書!F13,0),"not")</f>
        <v>not</v>
      </c>
      <c r="I25" s="17" t="str">
        <f>IF(AND(計算書!G12&gt;=$B25,計算書!G12&lt;$D25),ROUNDDOWN(計算書!G12*0.85-685000+計算書!G13,0),"not")</f>
        <v>not</v>
      </c>
      <c r="J25" s="17" t="str">
        <f>IF(AND(計算書!H12&gt;=$B25,計算書!H12&lt;$D25),ROUNDDOWN(計算書!H12*0.85-685000+計算書!H13,0),"not")</f>
        <v>not</v>
      </c>
      <c r="K25" s="17" t="str">
        <f>IF(AND(計算書!I12&gt;=$B25,計算書!I12&lt;$D25),ROUNDDOWN(計算書!I12*0.85-685000+計算書!I13,0),"not")</f>
        <v>not</v>
      </c>
      <c r="L25" s="17" t="str">
        <f>IF(AND(計算書!J12&gt;=$B25,計算書!J12&lt;$D25),ROUNDDOWN(計算書!J12*0.85-685000+計算書!J13,0),"not")</f>
        <v>not</v>
      </c>
    </row>
    <row r="26" spans="2:12" x14ac:dyDescent="0.15">
      <c r="B26" s="1">
        <v>7700000</v>
      </c>
      <c r="C26" t="s">
        <v>2</v>
      </c>
      <c r="D26" s="24">
        <v>10000000</v>
      </c>
      <c r="E26" t="s">
        <v>1</v>
      </c>
      <c r="F26" s="17" t="str">
        <f>IF(AND(計算書!D12&gt;=$B26,計算書!D12&lt;$D26),ROUNDDOWN(計算書!D12*0.95-1455000+計算書!D13,0),"not")</f>
        <v>not</v>
      </c>
      <c r="G26" s="17" t="str">
        <f>IF(AND(計算書!E12&gt;=$B26,計算書!E12&lt;$D26),ROUNDDOWN(計算書!E12*0.95-1455000+計算書!E13,0),"not")</f>
        <v>not</v>
      </c>
      <c r="H26" s="17" t="str">
        <f>IF(AND(計算書!F12&gt;=$B26,計算書!F12&lt;$D26),ROUNDDOWN(計算書!F12*0.95-1455000+計算書!F13,0),"not")</f>
        <v>not</v>
      </c>
      <c r="I26" s="17" t="str">
        <f>IF(AND(計算書!G12&gt;=$B26,計算書!G12&lt;$D26),ROUNDDOWN(計算書!G12*0.95-1455000+計算書!G13,0),"not")</f>
        <v>not</v>
      </c>
      <c r="J26" s="17" t="str">
        <f>IF(AND(計算書!H12&gt;=$B26,計算書!H12&lt;$D26),ROUNDDOWN(計算書!H12*0.95-1455000+計算書!H13,0),"not")</f>
        <v>not</v>
      </c>
      <c r="K26" s="17" t="str">
        <f>IF(AND(計算書!I12&gt;=$B26,計算書!I12&lt;$D26),ROUNDDOWN(計算書!I12*0.95-1455000+計算書!I13,0),"not")</f>
        <v>not</v>
      </c>
      <c r="L26" s="17" t="str">
        <f>IF(AND(計算書!J12&gt;=$B26,計算書!J12&lt;$D26),ROUNDDOWN(計算書!J12*0.95-1455000+計算書!J13,0),"not")</f>
        <v>not</v>
      </c>
    </row>
    <row r="27" spans="2:12" x14ac:dyDescent="0.15">
      <c r="B27" s="1">
        <v>10000000</v>
      </c>
      <c r="C27" t="s">
        <v>2</v>
      </c>
      <c r="D27" s="24">
        <v>999999999</v>
      </c>
      <c r="E27" t="s">
        <v>1</v>
      </c>
      <c r="F27" s="17" t="str">
        <f>IF(計算書!D12&gt;=$B27,計算書!D12-1955000+計算書!D13,"not")</f>
        <v>not</v>
      </c>
      <c r="G27" s="17" t="str">
        <f>IF(計算書!E12&gt;=$B27,計算書!E12-1955000+計算書!E13,"not")</f>
        <v>not</v>
      </c>
      <c r="H27" s="17" t="str">
        <f>IF(計算書!F12&gt;=$B27,計算書!F12-1955000+計算書!F13,"not")</f>
        <v>not</v>
      </c>
      <c r="I27" s="17" t="str">
        <f>IF(計算書!G12&gt;=$B27,計算書!G12-1955000+計算書!G13,"not")</f>
        <v>not</v>
      </c>
      <c r="J27" s="17" t="str">
        <f>IF(計算書!H12&gt;=$B27,計算書!H12-1955000+計算書!H13,"not")</f>
        <v>not</v>
      </c>
      <c r="K27" s="17" t="str">
        <f>IF(計算書!I12&gt;=$B27,計算書!I12-1955000+計算書!I13,"not")</f>
        <v>not</v>
      </c>
      <c r="L27" s="17" t="str">
        <f>IF(計算書!J12&gt;=$B27,計算書!J12-1955000+計算書!J13,"not")</f>
        <v>not</v>
      </c>
    </row>
  </sheetData>
  <phoneticPr fontId="2"/>
  <conditionalFormatting sqref="F3:L13 F16:L18 F20:L20 F23:L25 F27:L27">
    <cfRule type="cellIs" dxfId="2" priority="5" stopIfTrue="1" operator="notEqual">
      <formula>"not"</formula>
    </cfRule>
  </conditionalFormatting>
  <conditionalFormatting sqref="F19:L19">
    <cfRule type="cellIs" dxfId="1" priority="2" stopIfTrue="1" operator="notEqual">
      <formula>"not"</formula>
    </cfRule>
  </conditionalFormatting>
  <conditionalFormatting sqref="F26:L26">
    <cfRule type="cellIs" dxfId="0" priority="1" stopIfTrue="1" operator="notEqual">
      <formula>"not"</formula>
    </cfRule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38"/>
  </sheetPr>
  <dimension ref="B1:F37"/>
  <sheetViews>
    <sheetView zoomScaleNormal="100" workbookViewId="0">
      <selection activeCell="E9" sqref="E9"/>
    </sheetView>
  </sheetViews>
  <sheetFormatPr defaultRowHeight="13.5" x14ac:dyDescent="0.15"/>
  <cols>
    <col min="1" max="1" width="2.5" customWidth="1"/>
    <col min="2" max="2" width="16.25" customWidth="1"/>
    <col min="3" max="3" width="22.875" customWidth="1"/>
    <col min="4" max="4" width="13.75" customWidth="1"/>
  </cols>
  <sheetData>
    <row r="1" spans="2:5" ht="17.25" x14ac:dyDescent="0.2">
      <c r="B1" s="3" t="s">
        <v>60</v>
      </c>
    </row>
    <row r="2" spans="2:5" ht="14.25" thickBot="1" x14ac:dyDescent="0.2"/>
    <row r="3" spans="2:5" ht="17.25" customHeight="1" x14ac:dyDescent="0.2">
      <c r="B3" s="128" t="s">
        <v>62</v>
      </c>
      <c r="C3" s="30" t="s">
        <v>64</v>
      </c>
      <c r="D3" s="31">
        <v>32600</v>
      </c>
      <c r="E3" s="32" t="s">
        <v>17</v>
      </c>
    </row>
    <row r="4" spans="2:5" ht="17.25" customHeight="1" x14ac:dyDescent="0.2">
      <c r="B4" s="129"/>
      <c r="C4" s="33" t="s">
        <v>65</v>
      </c>
      <c r="D4" s="34">
        <v>21500</v>
      </c>
      <c r="E4" s="35" t="s">
        <v>17</v>
      </c>
    </row>
    <row r="5" spans="2:5" ht="17.25" customHeight="1" x14ac:dyDescent="0.2">
      <c r="B5" s="129"/>
      <c r="C5" s="33" t="s">
        <v>16</v>
      </c>
      <c r="D5" s="41">
        <v>8.3000000000000004E-2</v>
      </c>
      <c r="E5" s="35"/>
    </row>
    <row r="6" spans="2:5" ht="17.25" customHeight="1" x14ac:dyDescent="0.2">
      <c r="B6" s="129"/>
      <c r="C6" s="33" t="s">
        <v>27</v>
      </c>
      <c r="D6" s="41">
        <v>0</v>
      </c>
      <c r="E6" s="36"/>
    </row>
    <row r="7" spans="2:5" ht="17.25" customHeight="1" thickBot="1" x14ac:dyDescent="0.25">
      <c r="B7" s="130"/>
      <c r="C7" s="37" t="s">
        <v>66</v>
      </c>
      <c r="D7" s="38">
        <v>670000</v>
      </c>
      <c r="E7" s="39" t="s">
        <v>17</v>
      </c>
    </row>
    <row r="8" spans="2:5" ht="17.25" customHeight="1" x14ac:dyDescent="0.2">
      <c r="B8" s="128" t="s">
        <v>52</v>
      </c>
      <c r="C8" s="30" t="s">
        <v>64</v>
      </c>
      <c r="D8" s="31">
        <v>11900</v>
      </c>
      <c r="E8" s="32" t="s">
        <v>17</v>
      </c>
    </row>
    <row r="9" spans="2:5" ht="17.25" customHeight="1" x14ac:dyDescent="0.2">
      <c r="B9" s="129"/>
      <c r="C9" s="33" t="s">
        <v>65</v>
      </c>
      <c r="D9" s="34">
        <v>7700</v>
      </c>
      <c r="E9" s="35" t="s">
        <v>17</v>
      </c>
    </row>
    <row r="10" spans="2:5" ht="17.25" customHeight="1" x14ac:dyDescent="0.2">
      <c r="B10" s="129"/>
      <c r="C10" s="33" t="s">
        <v>16</v>
      </c>
      <c r="D10" s="41">
        <v>0.03</v>
      </c>
      <c r="E10" s="35"/>
    </row>
    <row r="11" spans="2:5" ht="17.25" customHeight="1" x14ac:dyDescent="0.2">
      <c r="B11" s="129"/>
      <c r="C11" s="33" t="s">
        <v>27</v>
      </c>
      <c r="D11" s="40">
        <v>0</v>
      </c>
      <c r="E11" s="36"/>
    </row>
    <row r="12" spans="2:5" ht="17.25" customHeight="1" thickBot="1" x14ac:dyDescent="0.25">
      <c r="B12" s="130"/>
      <c r="C12" s="37" t="s">
        <v>67</v>
      </c>
      <c r="D12" s="38">
        <v>260000</v>
      </c>
      <c r="E12" s="39" t="s">
        <v>17</v>
      </c>
    </row>
    <row r="13" spans="2:5" ht="17.25" x14ac:dyDescent="0.2">
      <c r="B13" s="128" t="s">
        <v>63</v>
      </c>
      <c r="C13" s="30" t="s">
        <v>64</v>
      </c>
      <c r="D13" s="31">
        <v>12500</v>
      </c>
      <c r="E13" s="32" t="s">
        <v>17</v>
      </c>
    </row>
    <row r="14" spans="2:5" ht="17.25" x14ac:dyDescent="0.2">
      <c r="B14" s="129"/>
      <c r="C14" s="33" t="s">
        <v>65</v>
      </c>
      <c r="D14" s="34">
        <v>6400</v>
      </c>
      <c r="E14" s="35" t="s">
        <v>17</v>
      </c>
    </row>
    <row r="15" spans="2:5" ht="17.25" x14ac:dyDescent="0.2">
      <c r="B15" s="129"/>
      <c r="C15" s="33" t="s">
        <v>16</v>
      </c>
      <c r="D15" s="41">
        <v>2.5999999999999999E-2</v>
      </c>
      <c r="E15" s="35"/>
    </row>
    <row r="16" spans="2:5" ht="17.25" x14ac:dyDescent="0.2">
      <c r="B16" s="129"/>
      <c r="C16" s="33" t="s">
        <v>27</v>
      </c>
      <c r="D16" s="41">
        <v>0</v>
      </c>
      <c r="E16" s="36"/>
    </row>
    <row r="17" spans="2:6" ht="18" thickBot="1" x14ac:dyDescent="0.25">
      <c r="B17" s="130"/>
      <c r="C17" s="37" t="s">
        <v>67</v>
      </c>
      <c r="D17" s="38">
        <v>170000</v>
      </c>
      <c r="E17" s="39" t="s">
        <v>17</v>
      </c>
    </row>
    <row r="18" spans="2:6" ht="17.25" x14ac:dyDescent="0.2">
      <c r="B18" s="131" t="s">
        <v>112</v>
      </c>
      <c r="C18" s="30" t="s">
        <v>64</v>
      </c>
      <c r="D18" s="31">
        <v>662</v>
      </c>
      <c r="E18" s="32" t="s">
        <v>17</v>
      </c>
      <c r="F18" t="s">
        <v>123</v>
      </c>
    </row>
    <row r="19" spans="2:6" ht="17.25" x14ac:dyDescent="0.2">
      <c r="B19" s="132"/>
      <c r="C19" s="33" t="s">
        <v>65</v>
      </c>
      <c r="D19" s="34">
        <v>400</v>
      </c>
      <c r="E19" s="35" t="s">
        <v>17</v>
      </c>
    </row>
    <row r="20" spans="2:6" ht="17.25" x14ac:dyDescent="0.2">
      <c r="B20" s="132"/>
      <c r="C20" s="33" t="s">
        <v>16</v>
      </c>
      <c r="D20" s="122">
        <v>1.1999999999999999E-3</v>
      </c>
      <c r="E20" s="35"/>
    </row>
    <row r="21" spans="2:6" ht="17.25" x14ac:dyDescent="0.2">
      <c r="B21" s="132"/>
      <c r="C21" s="33" t="s">
        <v>27</v>
      </c>
      <c r="D21" s="41">
        <v>0</v>
      </c>
      <c r="E21" s="36"/>
    </row>
    <row r="22" spans="2:6" ht="18" thickBot="1" x14ac:dyDescent="0.25">
      <c r="B22" s="133"/>
      <c r="C22" s="37" t="s">
        <v>67</v>
      </c>
      <c r="D22" s="38">
        <v>30000</v>
      </c>
      <c r="E22" s="39" t="s">
        <v>17</v>
      </c>
    </row>
    <row r="23" spans="2:6" ht="17.25" x14ac:dyDescent="0.2">
      <c r="B23" s="42"/>
      <c r="C23" s="3"/>
      <c r="D23" s="4"/>
      <c r="E23" s="6"/>
    </row>
    <row r="24" spans="2:6" ht="17.25" x14ac:dyDescent="0.2">
      <c r="B24" s="42"/>
      <c r="C24" s="3"/>
      <c r="D24" s="4"/>
      <c r="E24" s="6"/>
    </row>
    <row r="25" spans="2:6" ht="17.25" x14ac:dyDescent="0.2">
      <c r="B25" s="42"/>
      <c r="C25" s="3"/>
      <c r="D25" s="5"/>
      <c r="E25" s="6"/>
    </row>
    <row r="26" spans="2:6" ht="17.25" x14ac:dyDescent="0.2">
      <c r="B26" s="42"/>
      <c r="C26" s="3"/>
      <c r="D26" s="5"/>
    </row>
    <row r="27" spans="2:6" ht="17.25" x14ac:dyDescent="0.2">
      <c r="B27" s="42"/>
      <c r="C27" s="3"/>
      <c r="D27" s="4"/>
      <c r="E27" s="6"/>
    </row>
    <row r="28" spans="2:6" ht="17.25" x14ac:dyDescent="0.2">
      <c r="B28" s="42"/>
      <c r="C28" s="3"/>
      <c r="D28" s="4"/>
      <c r="E28" s="6"/>
    </row>
    <row r="29" spans="2:6" ht="17.25" x14ac:dyDescent="0.2">
      <c r="B29" s="42"/>
      <c r="C29" s="3"/>
      <c r="D29" s="4"/>
      <c r="E29" s="6"/>
    </row>
    <row r="30" spans="2:6" ht="17.25" x14ac:dyDescent="0.2">
      <c r="B30" s="42"/>
      <c r="C30" s="3"/>
      <c r="D30" s="5"/>
      <c r="E30" s="6"/>
    </row>
    <row r="31" spans="2:6" ht="17.25" x14ac:dyDescent="0.2">
      <c r="B31" s="42"/>
      <c r="C31" s="3"/>
      <c r="D31" s="16"/>
    </row>
    <row r="32" spans="2:6" ht="17.25" x14ac:dyDescent="0.2">
      <c r="B32" s="42"/>
      <c r="C32" s="3"/>
      <c r="D32" s="4"/>
      <c r="E32" s="6"/>
    </row>
    <row r="33" spans="2:5" ht="17.25" x14ac:dyDescent="0.2">
      <c r="B33" s="42"/>
      <c r="C33" s="3"/>
      <c r="D33" s="4"/>
      <c r="E33" s="6"/>
    </row>
    <row r="34" spans="2:5" ht="17.25" x14ac:dyDescent="0.2">
      <c r="B34" s="42"/>
      <c r="C34" s="3"/>
      <c r="D34" s="4"/>
      <c r="E34" s="6"/>
    </row>
    <row r="35" spans="2:5" ht="17.25" x14ac:dyDescent="0.2">
      <c r="B35" s="42"/>
      <c r="C35" s="3"/>
      <c r="D35" s="5"/>
      <c r="E35" s="6"/>
    </row>
    <row r="36" spans="2:5" ht="17.25" x14ac:dyDescent="0.2">
      <c r="B36" s="42"/>
      <c r="C36" s="3"/>
      <c r="D36" s="16"/>
    </row>
    <row r="37" spans="2:5" ht="17.25" x14ac:dyDescent="0.2">
      <c r="B37" s="42"/>
      <c r="C37" s="3"/>
      <c r="D37" s="4"/>
      <c r="E37" s="6"/>
    </row>
  </sheetData>
  <mergeCells count="4">
    <mergeCell ref="B3:B7"/>
    <mergeCell ref="B8:B12"/>
    <mergeCell ref="B13:B17"/>
    <mergeCell ref="B18:B2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入力表</vt:lpstr>
      <vt:lpstr>計算書</vt:lpstr>
      <vt:lpstr>所得算出</vt:lpstr>
      <vt:lpstr>条例数値</vt:lpstr>
      <vt:lpstr>N_給与所得算出</vt:lpstr>
      <vt:lpstr>N_高齢年金算出</vt:lpstr>
      <vt:lpstr>N_年金所得算出</vt:lpstr>
      <vt:lpstr>入力表!Print_Area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2024-06-27T02:25:35Z</dcterms:created>
  <dcterms:modified xsi:type="dcterms:W3CDTF">2026-06-29T07:38:12Z</dcterms:modified>
</cp:coreProperties>
</file>